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C:\Users\Raquel.riaza\Desktop\Board meeting 27 November Catherine\Documents\"/>
    </mc:Choice>
  </mc:AlternateContent>
  <xr:revisionPtr revIDLastSave="0" documentId="13_ncr:1_{75FF4207-E3FC-4597-A3CE-36ADFDE22DDC}" xr6:coauthVersionLast="47" xr6:coauthVersionMax="47" xr10:uidLastSave="{00000000-0000-0000-0000-000000000000}"/>
  <bookViews>
    <workbookView xWindow="-120" yWindow="-120" windowWidth="20730" windowHeight="11160" firstSheet="3" activeTab="3" xr2:uid="{8DE8E8FC-3C9A-4BC7-B6D4-DB079B2F1614}"/>
  </bookViews>
  <sheets>
    <sheet name="1T2021" sheetId="2" r:id="rId1"/>
    <sheet name="2T2021" sheetId="3" r:id="rId2"/>
    <sheet name="3T2021" sheetId="4" r:id="rId3"/>
    <sheet name="interim accounts 09 2023" sheetId="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9" l="1"/>
  <c r="C64" i="9"/>
  <c r="D44" i="9" s="1"/>
  <c r="C10" i="9"/>
  <c r="D31" i="9"/>
  <c r="H42" i="9"/>
  <c r="F42" i="9"/>
  <c r="H39" i="9"/>
  <c r="F39" i="9"/>
  <c r="H38" i="9"/>
  <c r="F38" i="9"/>
  <c r="D21" i="9" l="1"/>
  <c r="G48" i="9"/>
  <c r="C48" i="9"/>
  <c r="H41" i="9"/>
  <c r="F41" i="9"/>
  <c r="H40" i="9"/>
  <c r="F40" i="9"/>
  <c r="H37" i="9"/>
  <c r="F37" i="9"/>
  <c r="H36" i="9"/>
  <c r="F36" i="9"/>
  <c r="H35" i="9"/>
  <c r="F35" i="9"/>
  <c r="H34" i="9"/>
  <c r="F34" i="9"/>
  <c r="H33" i="9"/>
  <c r="F33" i="9"/>
  <c r="H32" i="9"/>
  <c r="F32" i="9"/>
  <c r="H31" i="9"/>
  <c r="F31" i="9"/>
  <c r="C21" i="9"/>
  <c r="D13" i="9"/>
  <c r="C13" i="9"/>
  <c r="H11" i="9"/>
  <c r="E10" i="9"/>
  <c r="E8" i="9"/>
  <c r="E13" i="9" l="1"/>
  <c r="C29" i="9"/>
  <c r="G8" i="9" s="1"/>
  <c r="D29" i="9"/>
  <c r="H48" i="9"/>
  <c r="D48" i="9"/>
  <c r="E21" i="9"/>
  <c r="H8" i="9" l="1"/>
  <c r="I11" i="9" s="1"/>
  <c r="G11" i="9"/>
  <c r="G29" i="9" s="1"/>
  <c r="G49" i="9" s="1"/>
  <c r="I8" i="9"/>
  <c r="C49" i="9"/>
  <c r="E29" i="9"/>
  <c r="H29" i="9"/>
  <c r="H49" i="9" s="1"/>
  <c r="I9" i="9"/>
  <c r="D49" i="9"/>
  <c r="D15" i="4" l="1"/>
  <c r="D21" i="4"/>
  <c r="H43" i="4"/>
  <c r="H14" i="4"/>
  <c r="H12" i="4" s="1"/>
  <c r="H21" i="4"/>
  <c r="C50" i="4"/>
  <c r="C52" i="4"/>
  <c r="H41" i="4"/>
  <c r="D41" i="3"/>
  <c r="D17" i="4"/>
  <c r="C51" i="4"/>
  <c r="C49" i="4"/>
  <c r="G46" i="4"/>
  <c r="C46" i="4"/>
  <c r="F40" i="4"/>
  <c r="H40" i="4"/>
  <c r="H39" i="4"/>
  <c r="F39" i="4"/>
  <c r="H38" i="4"/>
  <c r="H37" i="4"/>
  <c r="H36" i="4"/>
  <c r="H35" i="4"/>
  <c r="F35" i="4"/>
  <c r="F34" i="4"/>
  <c r="H34" i="4"/>
  <c r="G32" i="4"/>
  <c r="C32" i="4"/>
  <c r="D23" i="4"/>
  <c r="C23" i="4"/>
  <c r="C14" i="4"/>
  <c r="D10" i="4"/>
  <c r="E10" i="4" s="1"/>
  <c r="C10" i="4"/>
  <c r="J8" i="4"/>
  <c r="E8" i="4"/>
  <c r="D17" i="3"/>
  <c r="D15" i="3"/>
  <c r="D33" i="3"/>
  <c r="D21" i="3"/>
  <c r="H42" i="3"/>
  <c r="D40" i="3"/>
  <c r="H40" i="3" s="1"/>
  <c r="F40" i="3"/>
  <c r="H12" i="3"/>
  <c r="D11" i="3"/>
  <c r="D39" i="3"/>
  <c r="H39" i="3" s="1"/>
  <c r="D34" i="3"/>
  <c r="D38" i="3"/>
  <c r="D14" i="4" l="1"/>
  <c r="E14" i="4" s="1"/>
  <c r="D46" i="4"/>
  <c r="H33" i="4"/>
  <c r="C31" i="4"/>
  <c r="G12" i="4" s="1"/>
  <c r="D32" i="4"/>
  <c r="H32" i="4"/>
  <c r="E23" i="4"/>
  <c r="H46" i="4"/>
  <c r="C50" i="3"/>
  <c r="C48" i="3"/>
  <c r="G45" i="3"/>
  <c r="C45" i="3"/>
  <c r="F39" i="3"/>
  <c r="H38" i="3"/>
  <c r="H37" i="3"/>
  <c r="H36" i="3"/>
  <c r="H35" i="3"/>
  <c r="F35" i="3"/>
  <c r="H34" i="3"/>
  <c r="F34" i="3"/>
  <c r="H33" i="3"/>
  <c r="G32" i="3"/>
  <c r="C32" i="3"/>
  <c r="D23" i="3"/>
  <c r="C23" i="3"/>
  <c r="D14" i="3"/>
  <c r="C14" i="3"/>
  <c r="D10" i="3"/>
  <c r="C10" i="3"/>
  <c r="J8" i="3"/>
  <c r="E8" i="3"/>
  <c r="D31" i="4" l="1"/>
  <c r="C47" i="4"/>
  <c r="G8" i="4"/>
  <c r="G31" i="4" s="1"/>
  <c r="G47" i="4" s="1"/>
  <c r="H8" i="4"/>
  <c r="E31" i="4"/>
  <c r="D47" i="4"/>
  <c r="E10" i="3"/>
  <c r="E14" i="3"/>
  <c r="D31" i="3"/>
  <c r="H32" i="3"/>
  <c r="H45" i="3"/>
  <c r="E23" i="3"/>
  <c r="C31" i="3"/>
  <c r="C49" i="2"/>
  <c r="C47" i="2"/>
  <c r="H35" i="2"/>
  <c r="F35" i="2"/>
  <c r="D14" i="2"/>
  <c r="D23" i="2"/>
  <c r="G44" i="2"/>
  <c r="D44" i="2"/>
  <c r="C44" i="2"/>
  <c r="F39" i="2"/>
  <c r="H38" i="2"/>
  <c r="H37" i="2"/>
  <c r="H36" i="2"/>
  <c r="H34" i="2"/>
  <c r="F34" i="2"/>
  <c r="H33" i="2"/>
  <c r="G32" i="2"/>
  <c r="D32" i="2"/>
  <c r="C32" i="2"/>
  <c r="C23" i="2"/>
  <c r="J14" i="2"/>
  <c r="C14" i="2"/>
  <c r="H12" i="2"/>
  <c r="D10" i="2"/>
  <c r="C10" i="2"/>
  <c r="J8" i="2"/>
  <c r="E8" i="2"/>
  <c r="H31" i="4" l="1"/>
  <c r="H47" i="4" s="1"/>
  <c r="I9" i="4"/>
  <c r="D48" i="4"/>
  <c r="D45" i="3"/>
  <c r="D46" i="3" s="1"/>
  <c r="D32" i="3"/>
  <c r="H8" i="3"/>
  <c r="H31" i="3" s="1"/>
  <c r="H46" i="3" s="1"/>
  <c r="E31" i="3"/>
  <c r="G8" i="3"/>
  <c r="G12" i="3"/>
  <c r="C46" i="3"/>
  <c r="D31" i="2"/>
  <c r="H32" i="2"/>
  <c r="H44" i="2"/>
  <c r="E10" i="2"/>
  <c r="C31" i="2"/>
  <c r="E14" i="2"/>
  <c r="E23" i="2"/>
  <c r="G31" i="3" l="1"/>
  <c r="G46" i="3" s="1"/>
  <c r="D47" i="3"/>
  <c r="G8" i="2"/>
  <c r="G12" i="2"/>
  <c r="C45" i="2"/>
  <c r="G31" i="2" l="1"/>
  <c r="G45" i="2" s="1"/>
  <c r="D45" i="2"/>
  <c r="E31" i="2"/>
  <c r="H31" i="2"/>
  <c r="H45" i="2" s="1"/>
  <c r="D46" i="2" l="1"/>
</calcChain>
</file>

<file path=xl/sharedStrings.xml><?xml version="1.0" encoding="utf-8"?>
<sst xmlns="http://schemas.openxmlformats.org/spreadsheetml/2006/main" count="296" uniqueCount="95">
  <si>
    <t>EXPENDITURE</t>
  </si>
  <si>
    <t>Budget</t>
  </si>
  <si>
    <t>Actual</t>
  </si>
  <si>
    <t>Execution rate</t>
  </si>
  <si>
    <t>INCOME</t>
  </si>
  <si>
    <t>Eligible for EC Grant</t>
  </si>
  <si>
    <t>Heading 1 - Staff costs</t>
  </si>
  <si>
    <t xml:space="preserve"> Grant requested from the Commission</t>
  </si>
  <si>
    <t>In percentage of eligible costs  80%</t>
  </si>
  <si>
    <t xml:space="preserve">Heading 2 - Travel, accomodation &amp; subsistence </t>
  </si>
  <si>
    <t>Travel</t>
  </si>
  <si>
    <t>Subsistence allowances</t>
  </si>
  <si>
    <t>Co-financing</t>
  </si>
  <si>
    <t>ONCE</t>
  </si>
  <si>
    <t>Heading 3 - Costs of services</t>
  </si>
  <si>
    <t>Information dissemination</t>
  </si>
  <si>
    <t>Translations</t>
  </si>
  <si>
    <t>Donations</t>
  </si>
  <si>
    <t>Reproductions and publications</t>
  </si>
  <si>
    <t>Membership Fees</t>
  </si>
  <si>
    <t>Specific evaluation</t>
  </si>
  <si>
    <t>VDAB</t>
  </si>
  <si>
    <t>Interpretations</t>
  </si>
  <si>
    <t>External expertise</t>
  </si>
  <si>
    <t>Other services</t>
  </si>
  <si>
    <t>Heading 4 - Administration costs</t>
  </si>
  <si>
    <t>Depreciation for purchase of equipment</t>
  </si>
  <si>
    <t>Hire of rooms</t>
  </si>
  <si>
    <t>Hire of interpreting booths</t>
  </si>
  <si>
    <t>Audits</t>
  </si>
  <si>
    <t>Financial services</t>
  </si>
  <si>
    <t>Other admibnistrative costs</t>
  </si>
  <si>
    <t>TOTAL</t>
  </si>
  <si>
    <t>Non Eligible for EC Grant</t>
  </si>
  <si>
    <t>EC non eligible COSTS</t>
  </si>
  <si>
    <t xml:space="preserve">Other Revenue </t>
  </si>
  <si>
    <t>DARE</t>
  </si>
  <si>
    <t>I2I</t>
  </si>
  <si>
    <t>Justice4All</t>
  </si>
  <si>
    <t>Wellspring</t>
  </si>
  <si>
    <t>GRAND TOTAL</t>
  </si>
  <si>
    <t>University for All - Erasmus</t>
  </si>
  <si>
    <t>VIVID</t>
  </si>
  <si>
    <t>(1)</t>
  </si>
  <si>
    <t>Surplus</t>
  </si>
  <si>
    <t>Siteimprove</t>
  </si>
  <si>
    <t>Facebook</t>
  </si>
  <si>
    <t>CBM</t>
  </si>
  <si>
    <t>Accounts 31/03/2021</t>
  </si>
  <si>
    <t>Waicoop</t>
  </si>
  <si>
    <t>Previous years costs</t>
  </si>
  <si>
    <t>Other non eligible costs (1)</t>
  </si>
  <si>
    <t>Non eligible membershipfees</t>
  </si>
  <si>
    <t>Non eligible costs</t>
  </si>
  <si>
    <t>To be updated</t>
  </si>
  <si>
    <t>Microsoft</t>
  </si>
  <si>
    <t>UNSDR</t>
  </si>
  <si>
    <t>Other Income (2)</t>
  </si>
  <si>
    <t>(2)</t>
  </si>
  <si>
    <t>UNICEF / 2018</t>
  </si>
  <si>
    <t>AMID / 2019</t>
  </si>
  <si>
    <t>Google / 2019</t>
  </si>
  <si>
    <t>Including balance :</t>
  </si>
  <si>
    <t>Accounts 31/06/2021</t>
  </si>
  <si>
    <t>Accounts 30/09/2021</t>
  </si>
  <si>
    <t>WHO</t>
  </si>
  <si>
    <t>Non eligible refund</t>
  </si>
  <si>
    <t xml:space="preserve">Other Income </t>
  </si>
  <si>
    <t>Non eligible Scholarship granted</t>
  </si>
  <si>
    <t>Total amounts 2021</t>
  </si>
  <si>
    <t>In percentage of eligible costs  90%</t>
  </si>
  <si>
    <t>UNSR</t>
  </si>
  <si>
    <t>Supplement Unit costs travel EC</t>
  </si>
  <si>
    <t>Other expenses outside EC financing (1)</t>
  </si>
  <si>
    <t>EU ACCESS Project</t>
  </si>
  <si>
    <t>Accomodation costs</t>
  </si>
  <si>
    <t>Catering cost</t>
  </si>
  <si>
    <t>Subsistence Per diem  &amp; Local Transport</t>
  </si>
  <si>
    <t>Other Meeting costs</t>
  </si>
  <si>
    <t>Non eligible Membershipfee</t>
  </si>
  <si>
    <t>Accounts 01/01/2023- 30/09/2023</t>
  </si>
  <si>
    <t>NEF/Artificial Intelligence Project</t>
  </si>
  <si>
    <t>Projects &amp; Other Costs</t>
  </si>
  <si>
    <t>EACEA / ATHENA Project</t>
  </si>
  <si>
    <t>Ukraine Phase 1</t>
  </si>
  <si>
    <t>CBM / Ukraine Phase 2</t>
  </si>
  <si>
    <t>TIDES Foundation / Google</t>
  </si>
  <si>
    <t>Citi Foundation / Ascend Project</t>
  </si>
  <si>
    <t>Local Transport</t>
  </si>
  <si>
    <t>Books &amp; documentation</t>
  </si>
  <si>
    <t>Foreign exchange losses</t>
  </si>
  <si>
    <t>Foreign exchange profit</t>
  </si>
  <si>
    <t>GFFO / Ukraine</t>
  </si>
  <si>
    <t>DREE</t>
  </si>
  <si>
    <t>DOC-BOARD-23-11-08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</si>
</sst>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_);_(* \(#,##0\);_(* &quot;-&quot;??_);_(@_)"/>
    <numFmt numFmtId="165" formatCode="&quot;€&quot;#,##0"/>
    <numFmt numFmtId="166" formatCode="#,##0\ &quot;€&quot;"/>
    <numFmt numFmtId="167" formatCode="#,##0.00\ ;\-#,##0.00"/>
    <numFmt numFmtId="168" formatCode="#,##0.00\ ;\-#,##0.00\ "/>
    <numFmt numFmtId="169" formatCode="&quot;€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</cellStyleXfs>
  <cellXfs count="152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4" fillId="2" borderId="5" xfId="0" applyFont="1" applyFill="1" applyBorder="1"/>
    <xf numFmtId="4" fontId="4" fillId="2" borderId="6" xfId="0" applyNumberFormat="1" applyFont="1" applyFill="1" applyBorder="1"/>
    <xf numFmtId="4" fontId="4" fillId="2" borderId="7" xfId="0" applyNumberFormat="1" applyFont="1" applyFill="1" applyBorder="1" applyAlignment="1">
      <alignment horizontal="right"/>
    </xf>
    <xf numFmtId="0" fontId="2" fillId="2" borderId="8" xfId="0" applyFont="1" applyFill="1" applyBorder="1"/>
    <xf numFmtId="4" fontId="2" fillId="2" borderId="9" xfId="0" applyNumberFormat="1" applyFont="1" applyFill="1" applyBorder="1"/>
    <xf numFmtId="4" fontId="2" fillId="2" borderId="5" xfId="0" applyNumberFormat="1" applyFont="1" applyFill="1" applyBorder="1"/>
    <xf numFmtId="9" fontId="5" fillId="0" borderId="0" xfId="2" applyFont="1"/>
    <xf numFmtId="4" fontId="5" fillId="0" borderId="0" xfId="0" applyNumberFormat="1" applyFont="1"/>
    <xf numFmtId="0" fontId="5" fillId="0" borderId="0" xfId="0" applyFont="1"/>
    <xf numFmtId="0" fontId="0" fillId="0" borderId="8" xfId="0" applyBorder="1"/>
    <xf numFmtId="4" fontId="0" fillId="0" borderId="11" xfId="0" applyNumberFormat="1" applyBorder="1"/>
    <xf numFmtId="4" fontId="0" fillId="0" borderId="8" xfId="0" applyNumberFormat="1" applyBorder="1" applyAlignment="1">
      <alignment horizontal="right"/>
    </xf>
    <xf numFmtId="0" fontId="3" fillId="0" borderId="8" xfId="0" applyFont="1" applyBorder="1" applyAlignment="1">
      <alignment horizontal="center"/>
    </xf>
    <xf numFmtId="4" fontId="0" fillId="0" borderId="8" xfId="0" applyNumberFormat="1" applyBorder="1"/>
    <xf numFmtId="164" fontId="5" fillId="0" borderId="0" xfId="1" applyNumberFormat="1" applyFont="1"/>
    <xf numFmtId="0" fontId="4" fillId="2" borderId="8" xfId="0" applyFont="1" applyFill="1" applyBorder="1"/>
    <xf numFmtId="4" fontId="4" fillId="2" borderId="11" xfId="0" applyNumberFormat="1" applyFont="1" applyFill="1" applyBorder="1"/>
    <xf numFmtId="4" fontId="4" fillId="2" borderId="8" xfId="0" applyNumberFormat="1" applyFont="1" applyFill="1" applyBorder="1"/>
    <xf numFmtId="9" fontId="0" fillId="0" borderId="8" xfId="2" applyFont="1" applyBorder="1" applyAlignment="1">
      <alignment horizontal="center"/>
    </xf>
    <xf numFmtId="4" fontId="2" fillId="0" borderId="8" xfId="0" applyNumberFormat="1" applyFont="1" applyBorder="1"/>
    <xf numFmtId="0" fontId="2" fillId="0" borderId="8" xfId="0" applyFont="1" applyBorder="1"/>
    <xf numFmtId="4" fontId="2" fillId="2" borderId="8" xfId="0" applyNumberFormat="1" applyFont="1" applyFill="1" applyBorder="1"/>
    <xf numFmtId="165" fontId="6" fillId="0" borderId="0" xfId="0" applyNumberFormat="1" applyFont="1"/>
    <xf numFmtId="0" fontId="6" fillId="0" borderId="0" xfId="0" applyFont="1"/>
    <xf numFmtId="4" fontId="2" fillId="2" borderId="11" xfId="0" applyNumberFormat="1" applyFont="1" applyFill="1" applyBorder="1"/>
    <xf numFmtId="4" fontId="7" fillId="3" borderId="7" xfId="0" applyNumberFormat="1" applyFont="1" applyFill="1" applyBorder="1" applyAlignment="1">
      <alignment horizontal="right"/>
    </xf>
    <xf numFmtId="0" fontId="0" fillId="0" borderId="12" xfId="0" applyBorder="1"/>
    <xf numFmtId="4" fontId="0" fillId="0" borderId="12" xfId="0" applyNumberFormat="1" applyBorder="1"/>
    <xf numFmtId="166" fontId="0" fillId="0" borderId="8" xfId="0" applyNumberFormat="1" applyBorder="1"/>
    <xf numFmtId="4" fontId="0" fillId="4" borderId="11" xfId="0" applyNumberFormat="1" applyFill="1" applyBorder="1"/>
    <xf numFmtId="0" fontId="0" fillId="0" borderId="5" xfId="0" applyBorder="1"/>
    <xf numFmtId="4" fontId="0" fillId="0" borderId="5" xfId="0" applyNumberFormat="1" applyBorder="1"/>
    <xf numFmtId="4" fontId="0" fillId="0" borderId="0" xfId="0" applyNumberFormat="1" applyAlignment="1">
      <alignment horizontal="right"/>
    </xf>
    <xf numFmtId="0" fontId="8" fillId="0" borderId="0" xfId="0" applyFont="1"/>
    <xf numFmtId="4" fontId="0" fillId="0" borderId="13" xfId="0" applyNumberFormat="1" applyBorder="1"/>
    <xf numFmtId="4" fontId="0" fillId="0" borderId="12" xfId="0" applyNumberFormat="1" applyBorder="1" applyAlignment="1">
      <alignment horizontal="right"/>
    </xf>
    <xf numFmtId="0" fontId="4" fillId="5" borderId="12" xfId="0" applyFont="1" applyFill="1" applyBorder="1"/>
    <xf numFmtId="4" fontId="4" fillId="5" borderId="13" xfId="0" applyNumberFormat="1" applyFont="1" applyFill="1" applyBorder="1"/>
    <xf numFmtId="4" fontId="4" fillId="5" borderId="12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4" fontId="2" fillId="5" borderId="2" xfId="0" applyNumberFormat="1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horizontal="right" vertical="center"/>
    </xf>
    <xf numFmtId="4" fontId="2" fillId="5" borderId="1" xfId="0" applyNumberFormat="1" applyFont="1" applyFill="1" applyBorder="1" applyAlignment="1">
      <alignment vertical="center"/>
    </xf>
    <xf numFmtId="9" fontId="8" fillId="0" borderId="0" xfId="2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2" fillId="2" borderId="9" xfId="0" applyNumberFormat="1" applyFont="1" applyFill="1" applyBorder="1" applyAlignment="1">
      <alignment vertical="center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4" fontId="0" fillId="0" borderId="16" xfId="0" applyNumberFormat="1" applyBorder="1"/>
    <xf numFmtId="166" fontId="0" fillId="0" borderId="17" xfId="0" applyNumberFormat="1" applyBorder="1"/>
    <xf numFmtId="4" fontId="8" fillId="0" borderId="0" xfId="0" applyNumberFormat="1" applyFont="1"/>
    <xf numFmtId="0" fontId="9" fillId="0" borderId="5" xfId="0" applyFont="1" applyBorder="1" applyAlignment="1">
      <alignment vertical="center"/>
    </xf>
    <xf numFmtId="4" fontId="9" fillId="0" borderId="0" xfId="0" applyNumberFormat="1" applyFont="1" applyAlignment="1">
      <alignment vertical="center"/>
    </xf>
    <xf numFmtId="4" fontId="0" fillId="0" borderId="7" xfId="0" applyNumberFormat="1" applyBorder="1"/>
    <xf numFmtId="0" fontId="2" fillId="0" borderId="20" xfId="0" applyFont="1" applyBorder="1" applyAlignment="1">
      <alignment horizontal="right" vertical="center"/>
    </xf>
    <xf numFmtId="4" fontId="2" fillId="6" borderId="1" xfId="0" applyNumberFormat="1" applyFont="1" applyFill="1" applyBorder="1" applyAlignment="1">
      <alignment vertical="center"/>
    </xf>
    <xf numFmtId="0" fontId="10" fillId="0" borderId="14" xfId="0" applyFont="1" applyBorder="1" applyAlignment="1">
      <alignment horizontal="right" vertical="center"/>
    </xf>
    <xf numFmtId="4" fontId="6" fillId="7" borderId="21" xfId="0" applyNumberFormat="1" applyFont="1" applyFill="1" applyBorder="1" applyAlignment="1">
      <alignment vertical="center"/>
    </xf>
    <xf numFmtId="166" fontId="2" fillId="0" borderId="22" xfId="0" applyNumberFormat="1" applyFont="1" applyBorder="1" applyAlignment="1">
      <alignment vertical="center"/>
    </xf>
    <xf numFmtId="166" fontId="10" fillId="0" borderId="14" xfId="0" applyNumberFormat="1" applyFont="1" applyBorder="1" applyAlignment="1">
      <alignment horizontal="right" vertical="center"/>
    </xf>
    <xf numFmtId="4" fontId="6" fillId="7" borderId="1" xfId="0" applyNumberFormat="1" applyFont="1" applyFill="1" applyBorder="1" applyAlignment="1">
      <alignment vertical="center"/>
    </xf>
    <xf numFmtId="0" fontId="12" fillId="0" borderId="0" xfId="3" applyFont="1" applyAlignment="1">
      <alignment horizontal="right"/>
    </xf>
    <xf numFmtId="167" fontId="12" fillId="0" borderId="0" xfId="4" applyNumberFormat="1" applyFont="1"/>
    <xf numFmtId="4" fontId="2" fillId="2" borderId="23" xfId="0" applyNumberFormat="1" applyFont="1" applyFill="1" applyBorder="1" applyAlignment="1">
      <alignment vertical="center"/>
    </xf>
    <xf numFmtId="4" fontId="2" fillId="6" borderId="23" xfId="0" applyNumberFormat="1" applyFont="1" applyFill="1" applyBorder="1" applyAlignment="1">
      <alignment vertical="center"/>
    </xf>
    <xf numFmtId="4" fontId="9" fillId="0" borderId="5" xfId="0" applyNumberFormat="1" applyFont="1" applyBorder="1" applyAlignment="1">
      <alignment vertical="center"/>
    </xf>
    <xf numFmtId="49" fontId="13" fillId="0" borderId="0" xfId="0" applyNumberFormat="1" applyFont="1"/>
    <xf numFmtId="0" fontId="11" fillId="0" borderId="0" xfId="6"/>
    <xf numFmtId="168" fontId="11" fillId="0" borderId="0" xfId="5" applyNumberFormat="1"/>
    <xf numFmtId="168" fontId="0" fillId="0" borderId="0" xfId="0" applyNumberFormat="1"/>
    <xf numFmtId="4" fontId="14" fillId="0" borderId="12" xfId="0" applyNumberFormat="1" applyFont="1" applyBorder="1" applyAlignment="1">
      <alignment horizontal="right"/>
    </xf>
    <xf numFmtId="4" fontId="14" fillId="0" borderId="8" xfId="0" applyNumberFormat="1" applyFont="1" applyBorder="1" applyAlignment="1">
      <alignment horizontal="right"/>
    </xf>
    <xf numFmtId="4" fontId="15" fillId="0" borderId="0" xfId="0" applyNumberFormat="1" applyFont="1"/>
    <xf numFmtId="9" fontId="4" fillId="2" borderId="10" xfId="0" applyNumberFormat="1" applyFont="1" applyFill="1" applyBorder="1" applyAlignment="1">
      <alignment horizontal="center"/>
    </xf>
    <xf numFmtId="9" fontId="4" fillId="0" borderId="10" xfId="0" applyNumberFormat="1" applyFont="1" applyBorder="1" applyAlignment="1">
      <alignment horizontal="center"/>
    </xf>
    <xf numFmtId="9" fontId="2" fillId="0" borderId="15" xfId="0" applyNumberFormat="1" applyFont="1" applyBorder="1" applyAlignment="1">
      <alignment horizontal="center"/>
    </xf>
    <xf numFmtId="10" fontId="4" fillId="2" borderId="10" xfId="0" applyNumberFormat="1" applyFont="1" applyFill="1" applyBorder="1" applyAlignment="1">
      <alignment horizontal="center"/>
    </xf>
    <xf numFmtId="9" fontId="4" fillId="5" borderId="15" xfId="0" applyNumberFormat="1" applyFont="1" applyFill="1" applyBorder="1" applyAlignment="1">
      <alignment horizontal="center"/>
    </xf>
    <xf numFmtId="9" fontId="2" fillId="0" borderId="18" xfId="0" applyNumberFormat="1" applyFont="1" applyBorder="1" applyAlignment="1">
      <alignment horizontal="center"/>
    </xf>
    <xf numFmtId="10" fontId="4" fillId="2" borderId="3" xfId="0" applyNumberFormat="1" applyFont="1" applyFill="1" applyBorder="1" applyAlignment="1">
      <alignment horizontal="center" vertical="center"/>
    </xf>
    <xf numFmtId="166" fontId="2" fillId="2" borderId="23" xfId="0" applyNumberFormat="1" applyFont="1" applyFill="1" applyBorder="1" applyAlignment="1">
      <alignment vertical="center"/>
    </xf>
    <xf numFmtId="10" fontId="0" fillId="0" borderId="16" xfId="0" applyNumberFormat="1" applyBorder="1" applyAlignment="1">
      <alignment horizontal="center"/>
    </xf>
    <xf numFmtId="166" fontId="0" fillId="0" borderId="16" xfId="0" applyNumberFormat="1" applyBorder="1"/>
    <xf numFmtId="166" fontId="0" fillId="0" borderId="0" xfId="0" applyNumberFormat="1"/>
    <xf numFmtId="166" fontId="2" fillId="6" borderId="24" xfId="0" applyNumberFormat="1" applyFont="1" applyFill="1" applyBorder="1" applyAlignment="1">
      <alignment vertical="center"/>
    </xf>
    <xf numFmtId="0" fontId="4" fillId="2" borderId="7" xfId="0" applyFont="1" applyFill="1" applyBorder="1"/>
    <xf numFmtId="166" fontId="0" fillId="0" borderId="5" xfId="0" applyNumberFormat="1" applyBorder="1" applyAlignment="1">
      <alignment vertical="center" wrapText="1"/>
    </xf>
    <xf numFmtId="166" fontId="0" fillId="0" borderId="7" xfId="0" applyNumberFormat="1" applyBorder="1"/>
    <xf numFmtId="166" fontId="0" fillId="0" borderId="12" xfId="0" applyNumberFormat="1" applyBorder="1"/>
    <xf numFmtId="166" fontId="0" fillId="0" borderId="5" xfId="0" applyNumberFormat="1" applyBorder="1"/>
    <xf numFmtId="166" fontId="2" fillId="0" borderId="20" xfId="0" applyNumberFormat="1" applyFont="1" applyBorder="1" applyAlignment="1">
      <alignment horizontal="right" vertical="center"/>
    </xf>
    <xf numFmtId="4" fontId="11" fillId="0" borderId="0" xfId="6" applyNumberFormat="1"/>
    <xf numFmtId="4" fontId="12" fillId="0" borderId="0" xfId="4" applyNumberFormat="1" applyFont="1"/>
    <xf numFmtId="0" fontId="1" fillId="0" borderId="0" xfId="0" applyFont="1"/>
    <xf numFmtId="0" fontId="14" fillId="0" borderId="0" xfId="6" applyFont="1"/>
    <xf numFmtId="4" fontId="14" fillId="0" borderId="0" xfId="6" applyNumberFormat="1" applyFont="1"/>
    <xf numFmtId="4" fontId="8" fillId="0" borderId="0" xfId="0" applyNumberFormat="1" applyFont="1" applyAlignment="1">
      <alignment vertical="center"/>
    </xf>
    <xf numFmtId="4" fontId="2" fillId="6" borderId="9" xfId="0" applyNumberFormat="1" applyFont="1" applyFill="1" applyBorder="1" applyAlignment="1">
      <alignment vertical="center"/>
    </xf>
    <xf numFmtId="164" fontId="8" fillId="0" borderId="0" xfId="1" applyNumberFormat="1" applyFont="1"/>
    <xf numFmtId="169" fontId="17" fillId="0" borderId="0" xfId="0" applyNumberFormat="1" applyFont="1"/>
    <xf numFmtId="169" fontId="8" fillId="0" borderId="0" xfId="0" applyNumberFormat="1" applyFont="1"/>
    <xf numFmtId="49" fontId="11" fillId="0" borderId="0" xfId="5" applyNumberFormat="1" applyAlignment="1">
      <alignment horizontal="right"/>
    </xf>
    <xf numFmtId="4" fontId="13" fillId="0" borderId="8" xfId="0" applyNumberFormat="1" applyFont="1" applyBorder="1" applyAlignment="1">
      <alignment horizontal="right"/>
    </xf>
    <xf numFmtId="4" fontId="13" fillId="0" borderId="12" xfId="0" applyNumberFormat="1" applyFont="1" applyBorder="1" applyAlignment="1">
      <alignment horizontal="right"/>
    </xf>
    <xf numFmtId="4" fontId="13" fillId="0" borderId="0" xfId="0" applyNumberFormat="1" applyFont="1" applyAlignment="1">
      <alignment horizontal="right"/>
    </xf>
    <xf numFmtId="4" fontId="14" fillId="0" borderId="0" xfId="0" applyNumberFormat="1" applyFont="1" applyAlignment="1">
      <alignment horizontal="right"/>
    </xf>
    <xf numFmtId="49" fontId="14" fillId="0" borderId="0" xfId="0" applyNumberFormat="1" applyFont="1"/>
    <xf numFmtId="0" fontId="0" fillId="0" borderId="7" xfId="0" applyBorder="1"/>
    <xf numFmtId="0" fontId="0" fillId="0" borderId="20" xfId="0" applyBorder="1"/>
    <xf numFmtId="4" fontId="0" fillId="0" borderId="23" xfId="0" applyNumberFormat="1" applyBorder="1" applyAlignment="1">
      <alignment horizontal="center" vertical="center"/>
    </xf>
    <xf numFmtId="4" fontId="2" fillId="2" borderId="22" xfId="0" applyNumberFormat="1" applyFont="1" applyFill="1" applyBorder="1"/>
    <xf numFmtId="4" fontId="2" fillId="2" borderId="16" xfId="0" applyNumberFormat="1" applyFont="1" applyFill="1" applyBorder="1"/>
    <xf numFmtId="4" fontId="0" fillId="0" borderId="17" xfId="0" applyNumberFormat="1" applyBorder="1"/>
    <xf numFmtId="4" fontId="0" fillId="0" borderId="25" xfId="0" applyNumberFormat="1" applyBorder="1"/>
    <xf numFmtId="4" fontId="0" fillId="0" borderId="20" xfId="0" applyNumberFormat="1" applyBorder="1"/>
    <xf numFmtId="4" fontId="0" fillId="0" borderId="15" xfId="0" applyNumberFormat="1" applyBorder="1"/>
    <xf numFmtId="4" fontId="11" fillId="0" borderId="0" xfId="5" applyNumberFormat="1" applyAlignment="1">
      <alignment horizontal="right"/>
    </xf>
    <xf numFmtId="4" fontId="11" fillId="0" borderId="0" xfId="5" applyNumberFormat="1"/>
    <xf numFmtId="4" fontId="4" fillId="0" borderId="7" xfId="0" applyNumberFormat="1" applyFont="1" applyBorder="1" applyAlignment="1">
      <alignment horizontal="right"/>
    </xf>
    <xf numFmtId="4" fontId="0" fillId="0" borderId="0" xfId="0" applyNumberFormat="1" applyAlignment="1">
      <alignment vertical="center"/>
    </xf>
    <xf numFmtId="4" fontId="5" fillId="0" borderId="0" xfId="2" applyNumberFormat="1" applyFont="1"/>
    <xf numFmtId="4" fontId="8" fillId="0" borderId="0" xfId="2" applyNumberFormat="1" applyFont="1" applyAlignment="1">
      <alignment vertical="center"/>
    </xf>
    <xf numFmtId="167" fontId="11" fillId="0" borderId="0" xfId="8" applyNumberFormat="1"/>
    <xf numFmtId="0" fontId="11" fillId="0" borderId="26" xfId="10" applyBorder="1"/>
    <xf numFmtId="167" fontId="11" fillId="0" borderId="27" xfId="9" applyNumberFormat="1" applyBorder="1"/>
    <xf numFmtId="0" fontId="11" fillId="0" borderId="28" xfId="10" applyBorder="1"/>
    <xf numFmtId="167" fontId="11" fillId="0" borderId="29" xfId="9" applyNumberFormat="1" applyBorder="1"/>
    <xf numFmtId="0" fontId="14" fillId="0" borderId="28" xfId="6" applyFont="1" applyBorder="1"/>
    <xf numFmtId="4" fontId="0" fillId="0" borderId="29" xfId="0" applyNumberFormat="1" applyBorder="1"/>
    <xf numFmtId="0" fontId="0" fillId="0" borderId="28" xfId="0" applyBorder="1"/>
    <xf numFmtId="0" fontId="0" fillId="0" borderId="30" xfId="0" applyBorder="1"/>
    <xf numFmtId="4" fontId="18" fillId="0" borderId="31" xfId="0" applyNumberFormat="1" applyFont="1" applyBorder="1"/>
    <xf numFmtId="49" fontId="16" fillId="2" borderId="0" xfId="0" applyNumberFormat="1" applyFont="1" applyFill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center" vertical="center" textRotation="90"/>
    </xf>
    <xf numFmtId="0" fontId="3" fillId="0" borderId="19" xfId="0" applyFont="1" applyBorder="1" applyAlignment="1">
      <alignment horizontal="center" vertical="center" textRotation="90"/>
    </xf>
    <xf numFmtId="4" fontId="0" fillId="0" borderId="9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18" fillId="0" borderId="0" xfId="0" applyNumberFormat="1" applyFont="1" applyAlignment="1">
      <alignment horizontal="right"/>
    </xf>
  </cellXfs>
  <cellStyles count="11">
    <cellStyle name="Comma" xfId="1" builtinId="3"/>
    <cellStyle name="Comma 2" xfId="7" xr:uid="{60216F16-CDEA-4A88-999F-B5A9876223B1}"/>
    <cellStyle name="Milliers_01-12 2019" xfId="4" xr:uid="{CDA90BA8-00DD-4F54-B05E-499F66134D08}"/>
    <cellStyle name="Milliers_09 2023" xfId="9" xr:uid="{61357E36-A535-4B25-A377-E79E0C64411F}"/>
    <cellStyle name="Milliers_30 09 2020" xfId="5" xr:uid="{26E155CA-D7DF-4C8D-92CD-399A58EC84DF}"/>
    <cellStyle name="Milliers_Balance périodique analytique A" xfId="8" xr:uid="{A14BCA1B-D5A7-4EF6-B1B4-53418A21C7AA}"/>
    <cellStyle name="Normal" xfId="0" builtinId="0"/>
    <cellStyle name="Normal_01-12 2019" xfId="3" xr:uid="{E07340A2-4A96-4719-B6D6-346D6CBDFCB9}"/>
    <cellStyle name="Normal_09 2023" xfId="10" xr:uid="{1826FE3F-4843-43D6-A933-5BDDE1FA894D}"/>
    <cellStyle name="Normal_30 09 2020" xfId="6" xr:uid="{0435C073-C8DB-4948-95C7-030A8265296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1084017</xdr:colOff>
      <xdr:row>5</xdr:row>
      <xdr:rowOff>66675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EB0AACFA-E073-4DDB-BE21-221885944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503116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1160217</xdr:colOff>
      <xdr:row>6</xdr:row>
      <xdr:rowOff>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8B52C366-3A7B-4B11-B797-82A91EBAF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503116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1312617</xdr:colOff>
      <xdr:row>6</xdr:row>
      <xdr:rowOff>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9747FD05-109E-48D6-897D-9672DB4B6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579316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1257300</xdr:colOff>
      <xdr:row>5</xdr:row>
      <xdr:rowOff>18099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74E6CD28-9907-4816-AE0D-86443CDB2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695449" cy="974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C2DEE-0AA2-430A-BC43-A1CCE6C82ACA}">
  <sheetPr>
    <pageSetUpPr fitToPage="1"/>
  </sheetPr>
  <dimension ref="A2:O58"/>
  <sheetViews>
    <sheetView topLeftCell="A10" workbookViewId="0">
      <selection activeCell="H8" sqref="H8"/>
    </sheetView>
  </sheetViews>
  <sheetFormatPr defaultColWidth="12.5703125" defaultRowHeight="15" x14ac:dyDescent="0.25"/>
  <cols>
    <col min="1" max="1" width="6.42578125" customWidth="1"/>
    <col min="2" max="2" width="48.5703125" customWidth="1"/>
    <col min="3" max="3" width="15.42578125" style="1" customWidth="1"/>
    <col min="4" max="4" width="15.140625" style="1" customWidth="1"/>
    <col min="5" max="5" width="15.140625" customWidth="1"/>
    <col min="6" max="6" width="49.140625" customWidth="1"/>
    <col min="7" max="8" width="15.42578125" style="1" customWidth="1"/>
    <col min="10" max="10" width="15" bestFit="1" customWidth="1"/>
    <col min="13" max="13" width="4.85546875" customWidth="1"/>
    <col min="14" max="14" width="15" bestFit="1" customWidth="1"/>
  </cols>
  <sheetData>
    <row r="2" spans="1:15" ht="18.75" x14ac:dyDescent="0.3">
      <c r="B2" s="144" t="s">
        <v>48</v>
      </c>
      <c r="C2" s="144"/>
      <c r="D2" s="144"/>
      <c r="E2" s="144"/>
      <c r="F2" s="144"/>
      <c r="G2" s="144"/>
      <c r="H2" s="144"/>
    </row>
    <row r="6" spans="1:15" ht="7.5" customHeight="1" thickBot="1" x14ac:dyDescent="0.3"/>
    <row r="7" spans="1:15" s="2" customFormat="1" ht="21" customHeight="1" thickBot="1" x14ac:dyDescent="0.3">
      <c r="B7" s="3" t="s">
        <v>0</v>
      </c>
      <c r="C7" s="4" t="s">
        <v>1</v>
      </c>
      <c r="D7" s="5" t="s">
        <v>2</v>
      </c>
      <c r="E7" s="6" t="s">
        <v>3</v>
      </c>
      <c r="F7" s="3" t="s">
        <v>4</v>
      </c>
      <c r="G7" s="7" t="s">
        <v>1</v>
      </c>
      <c r="H7" s="7" t="s">
        <v>2</v>
      </c>
    </row>
    <row r="8" spans="1:15" ht="15.75" x14ac:dyDescent="0.25">
      <c r="A8" s="145" t="s">
        <v>5</v>
      </c>
      <c r="B8" s="8" t="s">
        <v>6</v>
      </c>
      <c r="C8" s="9">
        <v>797459.02</v>
      </c>
      <c r="D8" s="10">
        <v>167518.42000000001</v>
      </c>
      <c r="E8" s="85">
        <f>+(D8/C8)</f>
        <v>0.21006523946522043</v>
      </c>
      <c r="F8" s="11" t="s">
        <v>7</v>
      </c>
      <c r="G8" s="12">
        <f>C31*0.8</f>
        <v>1212575.216</v>
      </c>
      <c r="H8" s="13">
        <v>848802.51</v>
      </c>
      <c r="I8" s="14"/>
      <c r="J8" s="15">
        <f>D8-379500.78</f>
        <v>-211982.36000000002</v>
      </c>
      <c r="K8" s="16"/>
      <c r="L8" s="16"/>
      <c r="M8" s="16"/>
      <c r="N8" s="16"/>
      <c r="O8" s="16"/>
    </row>
    <row r="9" spans="1:15" ht="15.75" x14ac:dyDescent="0.25">
      <c r="A9" s="146"/>
      <c r="B9" s="17"/>
      <c r="C9" s="18"/>
      <c r="D9" s="19"/>
      <c r="E9" s="86"/>
      <c r="F9" s="20" t="s">
        <v>8</v>
      </c>
      <c r="G9" s="21"/>
      <c r="H9" s="21"/>
      <c r="I9" s="16"/>
      <c r="J9" s="22"/>
      <c r="K9" s="16"/>
      <c r="L9" s="16"/>
      <c r="M9" s="16"/>
      <c r="N9" s="16"/>
      <c r="O9" s="16"/>
    </row>
    <row r="10" spans="1:15" ht="15.75" x14ac:dyDescent="0.25">
      <c r="A10" s="146"/>
      <c r="B10" s="23" t="s">
        <v>9</v>
      </c>
      <c r="C10" s="24">
        <f>SUM(C11:C12)</f>
        <v>326910</v>
      </c>
      <c r="D10" s="25">
        <f>SUM(D11:D12)</f>
        <v>-387.36</v>
      </c>
      <c r="E10" s="85">
        <f t="shared" ref="E10" si="0">+(D10/C10)</f>
        <v>-1.1849132788840965E-3</v>
      </c>
      <c r="F10" s="26"/>
      <c r="G10" s="21"/>
      <c r="H10" s="27"/>
      <c r="I10" s="14"/>
      <c r="J10" s="22"/>
      <c r="K10" s="16"/>
      <c r="L10" s="16"/>
      <c r="M10" s="16"/>
      <c r="N10" s="16"/>
      <c r="O10" s="16"/>
    </row>
    <row r="11" spans="1:15" ht="15.75" x14ac:dyDescent="0.25">
      <c r="A11" s="146"/>
      <c r="B11" s="17" t="s">
        <v>10</v>
      </c>
      <c r="C11" s="18">
        <v>134200</v>
      </c>
      <c r="D11" s="19">
        <v>-387.36</v>
      </c>
      <c r="E11" s="87"/>
      <c r="F11" s="28"/>
      <c r="G11" s="27"/>
      <c r="H11" s="21"/>
      <c r="I11" s="16"/>
      <c r="J11" s="22"/>
      <c r="K11" s="16"/>
      <c r="L11" s="16"/>
      <c r="M11" s="16"/>
      <c r="N11" s="16"/>
      <c r="O11" s="16"/>
    </row>
    <row r="12" spans="1:15" ht="15.75" x14ac:dyDescent="0.25">
      <c r="A12" s="146"/>
      <c r="B12" s="17" t="s">
        <v>11</v>
      </c>
      <c r="C12" s="18">
        <v>192710</v>
      </c>
      <c r="D12" s="19"/>
      <c r="E12" s="87"/>
      <c r="F12" s="97" t="s">
        <v>12</v>
      </c>
      <c r="G12" s="29">
        <f>C31*0.2</f>
        <v>303143.804</v>
      </c>
      <c r="H12" s="29">
        <f>SUM(H13:H21)</f>
        <v>80121.38</v>
      </c>
      <c r="I12" s="16"/>
      <c r="J12" s="30"/>
      <c r="K12" s="31"/>
      <c r="L12" s="16"/>
      <c r="M12" s="16"/>
      <c r="N12" s="16"/>
      <c r="O12" s="16"/>
    </row>
    <row r="13" spans="1:15" ht="15.75" x14ac:dyDescent="0.25">
      <c r="A13" s="146"/>
      <c r="B13" s="17"/>
      <c r="C13" s="18"/>
      <c r="D13" s="19"/>
      <c r="E13" s="87"/>
      <c r="F13" s="17" t="s">
        <v>13</v>
      </c>
      <c r="G13" s="21"/>
      <c r="H13" s="21"/>
      <c r="I13" s="16"/>
      <c r="J13" s="16"/>
      <c r="K13" s="16"/>
      <c r="L13" s="16"/>
      <c r="M13" s="16"/>
      <c r="N13" s="16"/>
      <c r="O13" s="16"/>
    </row>
    <row r="14" spans="1:15" ht="15.75" x14ac:dyDescent="0.25">
      <c r="A14" s="146"/>
      <c r="B14" s="23" t="s">
        <v>14</v>
      </c>
      <c r="C14" s="32">
        <f>SUM(C15:C22)</f>
        <v>154600</v>
      </c>
      <c r="D14" s="33">
        <f>SUM(D15:D21)</f>
        <v>15474.730000000001</v>
      </c>
      <c r="E14" s="88">
        <f>+(D14/C14)</f>
        <v>0.10009527813712808</v>
      </c>
      <c r="F14" s="38" t="s">
        <v>17</v>
      </c>
      <c r="G14" s="35"/>
      <c r="H14" s="35"/>
      <c r="I14" s="14"/>
      <c r="J14" s="15">
        <f>D8-379500.78</f>
        <v>-211982.36000000002</v>
      </c>
      <c r="K14" s="16"/>
      <c r="L14" s="16"/>
      <c r="M14" s="16"/>
      <c r="N14" s="16"/>
      <c r="O14" s="16"/>
    </row>
    <row r="15" spans="1:15" ht="15.75" x14ac:dyDescent="0.25">
      <c r="A15" s="146"/>
      <c r="B15" s="17" t="s">
        <v>15</v>
      </c>
      <c r="C15" s="18">
        <v>40500</v>
      </c>
      <c r="D15" s="19">
        <v>706.25</v>
      </c>
      <c r="E15" s="87"/>
      <c r="F15" s="17" t="s">
        <v>21</v>
      </c>
      <c r="G15" s="21"/>
      <c r="H15" s="21">
        <v>3121.38</v>
      </c>
      <c r="I15" s="16"/>
      <c r="J15" s="16"/>
      <c r="K15" s="16"/>
      <c r="L15" s="16"/>
      <c r="M15" s="16"/>
      <c r="N15" s="16"/>
      <c r="O15" s="16"/>
    </row>
    <row r="16" spans="1:15" ht="15.75" x14ac:dyDescent="0.25">
      <c r="A16" s="146"/>
      <c r="B16" s="17" t="s">
        <v>16</v>
      </c>
      <c r="C16" s="37">
        <v>12000</v>
      </c>
      <c r="D16" s="19">
        <v>1247.4100000000001</v>
      </c>
      <c r="E16" s="87"/>
      <c r="F16" s="17" t="s">
        <v>19</v>
      </c>
      <c r="G16" s="39"/>
      <c r="H16" s="39">
        <v>77000</v>
      </c>
      <c r="I16" s="16"/>
      <c r="J16" s="16"/>
      <c r="K16" s="16"/>
      <c r="L16" s="16"/>
      <c r="M16" s="16"/>
      <c r="N16" s="16"/>
      <c r="O16" s="16"/>
    </row>
    <row r="17" spans="1:15" ht="15.75" x14ac:dyDescent="0.25">
      <c r="A17" s="146"/>
      <c r="B17" s="17" t="s">
        <v>18</v>
      </c>
      <c r="C17" s="18">
        <v>23000</v>
      </c>
      <c r="D17" s="40">
        <v>676.95</v>
      </c>
      <c r="E17" s="87"/>
      <c r="F17" s="17" t="s">
        <v>39</v>
      </c>
      <c r="G17" s="21"/>
      <c r="H17" s="21"/>
      <c r="I17" s="16"/>
      <c r="J17" s="16"/>
      <c r="K17" s="16"/>
      <c r="L17" s="16"/>
      <c r="M17" s="16"/>
      <c r="N17" s="16"/>
      <c r="O17" s="16"/>
    </row>
    <row r="18" spans="1:15" ht="15.75" x14ac:dyDescent="0.25">
      <c r="A18" s="146"/>
      <c r="B18" s="17" t="s">
        <v>20</v>
      </c>
      <c r="C18" s="18"/>
      <c r="D18" s="19"/>
      <c r="E18" s="87"/>
      <c r="F18" s="17" t="s">
        <v>45</v>
      </c>
      <c r="G18" s="21"/>
      <c r="H18" s="21"/>
      <c r="I18" s="41"/>
      <c r="J18" s="41"/>
      <c r="K18" s="41"/>
      <c r="L18" s="41"/>
      <c r="M18" s="41"/>
      <c r="N18" s="41"/>
      <c r="O18" s="16"/>
    </row>
    <row r="19" spans="1:15" ht="15.75" x14ac:dyDescent="0.25">
      <c r="A19" s="146"/>
      <c r="B19" s="17" t="s">
        <v>22</v>
      </c>
      <c r="C19" s="18">
        <v>42600</v>
      </c>
      <c r="D19" s="19">
        <v>9684.1</v>
      </c>
      <c r="E19" s="87"/>
      <c r="F19" s="17" t="s">
        <v>46</v>
      </c>
      <c r="G19" s="21"/>
      <c r="H19" s="21"/>
      <c r="I19" s="41"/>
      <c r="J19" s="41"/>
      <c r="K19" s="41"/>
      <c r="L19" s="41"/>
      <c r="M19" s="41"/>
      <c r="N19" s="41"/>
      <c r="O19" s="16"/>
    </row>
    <row r="20" spans="1:15" ht="15.75" x14ac:dyDescent="0.25">
      <c r="A20" s="146"/>
      <c r="B20" s="17" t="s">
        <v>23</v>
      </c>
      <c r="C20" s="18">
        <v>24000</v>
      </c>
      <c r="D20" s="19">
        <v>1718.2</v>
      </c>
      <c r="E20" s="87"/>
      <c r="F20" s="17" t="s">
        <v>47</v>
      </c>
      <c r="G20" s="21"/>
      <c r="H20" s="21"/>
      <c r="I20" s="41"/>
      <c r="J20" s="41"/>
      <c r="K20" s="41"/>
      <c r="L20" s="41"/>
      <c r="M20" s="41"/>
      <c r="N20" s="41"/>
      <c r="O20" s="16"/>
    </row>
    <row r="21" spans="1:15" ht="15.75" x14ac:dyDescent="0.25">
      <c r="A21" s="146"/>
      <c r="B21" s="17" t="s">
        <v>24</v>
      </c>
      <c r="C21" s="18">
        <v>12500</v>
      </c>
      <c r="D21" s="83">
        <v>1441.82</v>
      </c>
      <c r="E21" s="87"/>
      <c r="F21" s="17" t="s">
        <v>55</v>
      </c>
      <c r="G21" s="21"/>
      <c r="H21" s="21"/>
      <c r="I21" s="41"/>
      <c r="J21" s="41"/>
      <c r="K21" s="41"/>
      <c r="L21" s="41"/>
      <c r="M21" s="41"/>
      <c r="N21" s="41"/>
      <c r="O21" s="16"/>
    </row>
    <row r="22" spans="1:15" ht="15.75" x14ac:dyDescent="0.25">
      <c r="A22" s="146"/>
      <c r="B22" s="34"/>
      <c r="C22" s="42"/>
      <c r="D22" s="82"/>
      <c r="E22" s="87"/>
      <c r="F22" s="35"/>
      <c r="G22" s="35"/>
      <c r="H22" s="35"/>
      <c r="I22" s="41"/>
      <c r="J22" s="41"/>
      <c r="K22" s="41"/>
      <c r="L22" s="41"/>
      <c r="M22" s="41"/>
      <c r="N22" s="41"/>
      <c r="O22" s="16"/>
    </row>
    <row r="23" spans="1:15" ht="15.75" x14ac:dyDescent="0.25">
      <c r="A23" s="146"/>
      <c r="B23" s="44" t="s">
        <v>25</v>
      </c>
      <c r="C23" s="45">
        <f>SUM(C24:C29)</f>
        <v>236750</v>
      </c>
      <c r="D23" s="46">
        <f>SUM(D24:D30)</f>
        <v>48455.81</v>
      </c>
      <c r="E23" s="89">
        <f t="shared" ref="E23" si="1">+(D23/C23)</f>
        <v>0.20467079197465679</v>
      </c>
      <c r="F23" s="35"/>
      <c r="G23" s="35"/>
      <c r="H23" s="35"/>
      <c r="I23" s="41"/>
      <c r="J23" s="41"/>
      <c r="K23" s="41"/>
      <c r="L23" s="41"/>
      <c r="M23" s="41"/>
      <c r="N23" s="41"/>
      <c r="O23" s="16"/>
    </row>
    <row r="24" spans="1:15" ht="15.75" x14ac:dyDescent="0.25">
      <c r="A24" s="146"/>
      <c r="B24" s="34" t="s">
        <v>26</v>
      </c>
      <c r="C24" s="42">
        <v>15000</v>
      </c>
      <c r="D24" s="43"/>
      <c r="E24" s="87"/>
      <c r="F24" s="35"/>
      <c r="G24" s="35"/>
      <c r="H24" s="35"/>
      <c r="I24" s="41"/>
      <c r="J24" s="41"/>
      <c r="K24" s="41"/>
      <c r="L24" s="41"/>
      <c r="M24" s="41"/>
      <c r="N24" s="41"/>
      <c r="O24" s="16"/>
    </row>
    <row r="25" spans="1:15" ht="15.75" x14ac:dyDescent="0.25">
      <c r="A25" s="146"/>
      <c r="B25" s="34" t="s">
        <v>27</v>
      </c>
      <c r="C25" s="42">
        <v>30750</v>
      </c>
      <c r="D25" s="43"/>
      <c r="E25" s="87"/>
      <c r="F25" s="34"/>
      <c r="G25" s="35"/>
      <c r="H25" s="35"/>
      <c r="I25" s="41"/>
      <c r="J25" s="41"/>
      <c r="K25" s="41"/>
      <c r="L25" s="41"/>
      <c r="M25" s="41"/>
      <c r="N25" s="41"/>
      <c r="O25" s="16"/>
    </row>
    <row r="26" spans="1:15" ht="15.75" x14ac:dyDescent="0.25">
      <c r="A26" s="146"/>
      <c r="B26" s="34" t="s">
        <v>28</v>
      </c>
      <c r="C26" s="42">
        <v>18000</v>
      </c>
      <c r="D26" s="43">
        <v>294.3</v>
      </c>
      <c r="E26" s="87"/>
      <c r="F26" s="35"/>
      <c r="G26" s="35"/>
      <c r="H26" s="35"/>
      <c r="I26" s="41"/>
      <c r="J26" s="41"/>
      <c r="K26" s="41"/>
      <c r="L26" s="41"/>
      <c r="M26" s="41"/>
      <c r="N26" s="41"/>
      <c r="O26" s="16"/>
    </row>
    <row r="27" spans="1:15" ht="15.75" x14ac:dyDescent="0.25">
      <c r="A27" s="146"/>
      <c r="B27" s="34" t="s">
        <v>29</v>
      </c>
      <c r="C27" s="42">
        <v>5500</v>
      </c>
      <c r="D27" s="43"/>
      <c r="E27" s="87"/>
      <c r="F27" s="34"/>
      <c r="G27" s="35"/>
      <c r="H27" s="35"/>
      <c r="I27" s="41"/>
      <c r="J27" s="41"/>
      <c r="K27" s="41"/>
      <c r="L27" s="41"/>
      <c r="M27" s="41"/>
      <c r="N27" s="41"/>
      <c r="O27" s="16"/>
    </row>
    <row r="28" spans="1:15" ht="15.75" x14ac:dyDescent="0.25">
      <c r="A28" s="146"/>
      <c r="B28" s="34" t="s">
        <v>30</v>
      </c>
      <c r="C28" s="42">
        <v>22000</v>
      </c>
      <c r="D28" s="43">
        <v>12147.04</v>
      </c>
      <c r="E28" s="87"/>
      <c r="F28" s="34"/>
      <c r="G28" s="35"/>
      <c r="H28" s="35"/>
      <c r="I28" s="41"/>
      <c r="J28" s="62"/>
      <c r="K28" s="41"/>
      <c r="L28" s="41"/>
      <c r="M28" s="41"/>
      <c r="N28" s="41"/>
      <c r="O28" s="16"/>
    </row>
    <row r="29" spans="1:15" ht="15.75" x14ac:dyDescent="0.25">
      <c r="A29" s="146"/>
      <c r="B29" s="34" t="s">
        <v>31</v>
      </c>
      <c r="C29" s="42">
        <v>145500</v>
      </c>
      <c r="D29" s="43">
        <v>36014.47</v>
      </c>
      <c r="E29" s="87"/>
      <c r="F29" s="34"/>
      <c r="G29" s="35"/>
      <c r="H29" s="35"/>
      <c r="I29" s="41"/>
      <c r="J29" s="41"/>
      <c r="K29" s="41"/>
      <c r="L29" s="41"/>
      <c r="M29" s="41"/>
      <c r="N29" s="41"/>
      <c r="O29" s="16"/>
    </row>
    <row r="30" spans="1:15" ht="16.5" thickBot="1" x14ac:dyDescent="0.3">
      <c r="A30" s="146"/>
      <c r="B30" s="34"/>
      <c r="C30" s="42"/>
      <c r="D30" s="43"/>
      <c r="E30" s="90"/>
      <c r="F30" s="34"/>
      <c r="G30" s="35"/>
      <c r="H30" s="35"/>
      <c r="I30" s="41"/>
      <c r="J30" s="41"/>
      <c r="K30" s="41"/>
      <c r="L30" s="41"/>
      <c r="M30" s="41"/>
      <c r="N30" s="41"/>
      <c r="O30" s="16"/>
    </row>
    <row r="31" spans="1:15" s="2" customFormat="1" ht="20.25" customHeight="1" thickBot="1" x14ac:dyDescent="0.3">
      <c r="A31" s="6"/>
      <c r="B31" s="47" t="s">
        <v>32</v>
      </c>
      <c r="C31" s="48">
        <f>C23+C14+C10+C8</f>
        <v>1515719.02</v>
      </c>
      <c r="D31" s="49">
        <f>D23+D14+D10+D8</f>
        <v>231061.6</v>
      </c>
      <c r="E31" s="91">
        <f>+(D31/C31)</f>
        <v>0.15244355777761501</v>
      </c>
      <c r="F31" s="47" t="s">
        <v>32</v>
      </c>
      <c r="G31" s="50">
        <f>G12+G8</f>
        <v>1515719.02</v>
      </c>
      <c r="H31" s="50">
        <f>H12+H8</f>
        <v>928923.89</v>
      </c>
      <c r="I31" s="51"/>
      <c r="J31" s="108"/>
      <c r="K31" s="52"/>
      <c r="L31" s="52"/>
      <c r="M31" s="52"/>
      <c r="N31" s="52"/>
      <c r="O31" s="53"/>
    </row>
    <row r="32" spans="1:15" s="2" customFormat="1" ht="20.25" customHeight="1" thickBot="1" x14ac:dyDescent="0.3">
      <c r="A32" s="145" t="s">
        <v>33</v>
      </c>
      <c r="B32" s="54" t="s">
        <v>34</v>
      </c>
      <c r="C32" s="75">
        <f>SUM(C33:C43)</f>
        <v>0</v>
      </c>
      <c r="D32" s="57">
        <f>SUM(D33:E43)</f>
        <v>71666.12000000001</v>
      </c>
      <c r="E32" s="92"/>
      <c r="F32" s="55" t="s">
        <v>35</v>
      </c>
      <c r="G32" s="56">
        <f>SUM(G33:G41)</f>
        <v>0</v>
      </c>
      <c r="H32" s="57">
        <f>SUM(H33:H41)</f>
        <v>67215.41</v>
      </c>
      <c r="I32" s="52"/>
      <c r="J32" s="52"/>
      <c r="K32" s="52"/>
      <c r="L32" s="52"/>
      <c r="M32" s="52"/>
      <c r="N32" s="52"/>
      <c r="O32" s="53"/>
    </row>
    <row r="33" spans="1:15" ht="15.75" x14ac:dyDescent="0.25">
      <c r="A33" s="146"/>
      <c r="B33" s="58" t="s">
        <v>36</v>
      </c>
      <c r="C33" s="148" t="s">
        <v>54</v>
      </c>
      <c r="D33" s="19">
        <v>10794.25</v>
      </c>
      <c r="E33" s="93"/>
      <c r="F33" s="98" t="s">
        <v>36</v>
      </c>
      <c r="G33" s="148" t="s">
        <v>54</v>
      </c>
      <c r="H33" s="21">
        <f t="shared" ref="H33:H38" si="2">D33</f>
        <v>10794.25</v>
      </c>
      <c r="I33" s="41"/>
      <c r="J33" s="41"/>
      <c r="K33" s="41"/>
      <c r="L33" s="41"/>
      <c r="M33" s="41"/>
      <c r="N33" s="41"/>
      <c r="O33" s="16"/>
    </row>
    <row r="34" spans="1:15" ht="15.75" x14ac:dyDescent="0.25">
      <c r="A34" s="146"/>
      <c r="B34" s="59" t="s">
        <v>37</v>
      </c>
      <c r="C34" s="149"/>
      <c r="D34" s="21">
        <v>21273.74</v>
      </c>
      <c r="E34" s="94"/>
      <c r="F34" s="36" t="str">
        <f>+B34</f>
        <v>I2I</v>
      </c>
      <c r="G34" s="149"/>
      <c r="H34" s="21">
        <f t="shared" si="2"/>
        <v>21273.74</v>
      </c>
      <c r="I34" s="41"/>
      <c r="J34" s="41"/>
      <c r="K34" s="41"/>
      <c r="L34" s="41"/>
      <c r="M34" s="41"/>
      <c r="N34" s="41"/>
      <c r="O34" s="16"/>
    </row>
    <row r="35" spans="1:15" ht="15.75" x14ac:dyDescent="0.25">
      <c r="A35" s="146"/>
      <c r="B35" s="17" t="s">
        <v>49</v>
      </c>
      <c r="C35" s="149"/>
      <c r="D35" s="21">
        <v>15868.26</v>
      </c>
      <c r="E35" s="94"/>
      <c r="F35" s="36" t="str">
        <f>B35</f>
        <v>Waicoop</v>
      </c>
      <c r="G35" s="149"/>
      <c r="H35" s="21">
        <f t="shared" si="2"/>
        <v>15868.26</v>
      </c>
      <c r="I35" s="41"/>
      <c r="J35" s="41"/>
      <c r="K35" s="41"/>
      <c r="L35" s="41"/>
      <c r="M35" s="41"/>
      <c r="N35" s="41"/>
      <c r="O35" s="16"/>
    </row>
    <row r="36" spans="1:15" ht="15.75" x14ac:dyDescent="0.25">
      <c r="A36" s="146"/>
      <c r="B36" s="36" t="s">
        <v>38</v>
      </c>
      <c r="C36" s="149"/>
      <c r="D36" s="21">
        <v>0</v>
      </c>
      <c r="E36" s="94"/>
      <c r="F36" s="36" t="s">
        <v>38</v>
      </c>
      <c r="G36" s="149"/>
      <c r="H36" s="21">
        <f t="shared" si="2"/>
        <v>0</v>
      </c>
      <c r="I36" s="41"/>
      <c r="J36" s="41"/>
      <c r="K36" s="41"/>
      <c r="L36" s="41"/>
      <c r="M36" s="41"/>
      <c r="N36" s="41"/>
      <c r="O36" s="16"/>
    </row>
    <row r="37" spans="1:15" ht="15.75" x14ac:dyDescent="0.25">
      <c r="A37" s="146"/>
      <c r="B37" s="17" t="s">
        <v>41</v>
      </c>
      <c r="C37" s="149"/>
      <c r="D37" s="21">
        <v>0</v>
      </c>
      <c r="E37" s="61"/>
      <c r="F37" s="17" t="s">
        <v>41</v>
      </c>
      <c r="G37" s="149"/>
      <c r="H37" s="21">
        <f t="shared" si="2"/>
        <v>0</v>
      </c>
      <c r="I37" s="41"/>
      <c r="J37" s="41"/>
      <c r="K37" s="41"/>
      <c r="L37" s="41"/>
      <c r="M37" s="41"/>
      <c r="N37" s="41"/>
      <c r="O37" s="16"/>
    </row>
    <row r="38" spans="1:15" ht="15.75" x14ac:dyDescent="0.25">
      <c r="A38" s="146"/>
      <c r="B38" s="17" t="s">
        <v>42</v>
      </c>
      <c r="C38" s="149"/>
      <c r="D38" s="21">
        <v>19279.16</v>
      </c>
      <c r="E38" s="61"/>
      <c r="F38" s="17" t="s">
        <v>42</v>
      </c>
      <c r="G38" s="149"/>
      <c r="H38" s="21">
        <f t="shared" si="2"/>
        <v>19279.16</v>
      </c>
      <c r="I38" s="41"/>
      <c r="J38" s="41"/>
      <c r="K38" s="41"/>
      <c r="L38" s="41"/>
      <c r="M38" s="41"/>
      <c r="N38" s="41"/>
      <c r="O38" s="16"/>
    </row>
    <row r="39" spans="1:15" ht="15.75" x14ac:dyDescent="0.25">
      <c r="A39" s="146"/>
      <c r="B39" s="17" t="s">
        <v>39</v>
      </c>
      <c r="C39" s="149"/>
      <c r="D39" s="21">
        <v>1448.19</v>
      </c>
      <c r="E39" s="61"/>
      <c r="F39" s="99" t="str">
        <f>B39</f>
        <v>Wellspring</v>
      </c>
      <c r="G39" s="149"/>
      <c r="H39" s="21">
        <v>0</v>
      </c>
      <c r="I39" s="41"/>
      <c r="J39" s="41"/>
      <c r="K39" s="41"/>
      <c r="L39" s="41"/>
      <c r="M39" s="41"/>
      <c r="N39" s="41"/>
      <c r="O39" s="16"/>
    </row>
    <row r="40" spans="1:15" ht="15.75" x14ac:dyDescent="0.25">
      <c r="A40" s="146"/>
      <c r="B40" s="17" t="s">
        <v>51</v>
      </c>
      <c r="C40" s="149"/>
      <c r="D40" s="21">
        <v>3002.52</v>
      </c>
      <c r="E40" s="61"/>
      <c r="F40" s="36" t="s">
        <v>19</v>
      </c>
      <c r="G40" s="149"/>
      <c r="H40" s="21">
        <v>0</v>
      </c>
      <c r="I40" s="41"/>
      <c r="J40" s="41"/>
      <c r="K40" s="41"/>
      <c r="L40" s="41"/>
      <c r="M40" s="41"/>
      <c r="N40" s="41"/>
      <c r="O40" s="16"/>
    </row>
    <row r="41" spans="1:15" ht="15.75" x14ac:dyDescent="0.25">
      <c r="A41" s="146"/>
      <c r="B41" s="17"/>
      <c r="C41" s="150"/>
      <c r="D41" s="35"/>
      <c r="E41" s="61"/>
      <c r="F41" s="100"/>
      <c r="G41" s="149"/>
      <c r="H41" s="35"/>
      <c r="I41" s="41"/>
      <c r="J41" s="41"/>
      <c r="K41" s="41"/>
      <c r="L41" s="41"/>
      <c r="M41" s="41"/>
      <c r="N41" s="41"/>
      <c r="O41" s="16"/>
    </row>
    <row r="42" spans="1:15" ht="15.75" x14ac:dyDescent="0.25">
      <c r="A42" s="146"/>
      <c r="B42" s="17"/>
      <c r="C42" s="60"/>
      <c r="D42" s="21"/>
      <c r="E42" s="94"/>
      <c r="F42" s="36"/>
      <c r="G42" s="150"/>
      <c r="H42" s="21"/>
      <c r="I42" s="41"/>
      <c r="J42" s="62"/>
      <c r="K42" s="41"/>
      <c r="L42" s="41"/>
      <c r="M42" s="41"/>
      <c r="N42" s="41"/>
      <c r="O42" s="16"/>
    </row>
    <row r="43" spans="1:15" ht="18" customHeight="1" thickBot="1" x14ac:dyDescent="0.3">
      <c r="A43" s="146"/>
      <c r="B43" s="63" t="s">
        <v>44</v>
      </c>
      <c r="C43" s="64"/>
      <c r="D43" s="77"/>
      <c r="E43" s="95"/>
      <c r="F43" s="101"/>
      <c r="G43" s="65"/>
      <c r="H43" s="65"/>
      <c r="I43" s="41"/>
      <c r="J43" s="62"/>
      <c r="K43" s="41"/>
      <c r="L43" s="41"/>
      <c r="M43" s="41"/>
      <c r="N43" s="41"/>
      <c r="O43" s="16"/>
    </row>
    <row r="44" spans="1:15" ht="24" customHeight="1" thickBot="1" x14ac:dyDescent="0.3">
      <c r="A44" s="147"/>
      <c r="B44" s="66" t="s">
        <v>32</v>
      </c>
      <c r="C44" s="76">
        <f>SUM(C33:C43)</f>
        <v>0</v>
      </c>
      <c r="D44" s="67">
        <f>SUM(D33:D43)</f>
        <v>71666.12000000001</v>
      </c>
      <c r="E44" s="96"/>
      <c r="F44" s="102" t="s">
        <v>32</v>
      </c>
      <c r="G44" s="67">
        <f>SUM(G33:G43)</f>
        <v>0</v>
      </c>
      <c r="H44" s="109">
        <f>SUM(H33:H42)</f>
        <v>67215.41</v>
      </c>
      <c r="I44" s="41"/>
      <c r="J44" s="41"/>
      <c r="K44" s="41"/>
      <c r="L44" s="41"/>
      <c r="M44" s="41"/>
      <c r="N44" s="41"/>
      <c r="O44" s="16"/>
    </row>
    <row r="45" spans="1:15" ht="24" customHeight="1" thickBot="1" x14ac:dyDescent="0.3">
      <c r="B45" s="68" t="s">
        <v>40</v>
      </c>
      <c r="C45" s="69">
        <f>C44+C31</f>
        <v>1515719.02</v>
      </c>
      <c r="D45" s="69">
        <f>D44+D31</f>
        <v>302727.72000000003</v>
      </c>
      <c r="E45" s="70"/>
      <c r="F45" s="71" t="s">
        <v>40</v>
      </c>
      <c r="G45" s="69">
        <f>G31+G44</f>
        <v>1515719.02</v>
      </c>
      <c r="H45" s="72">
        <f>H31+H44</f>
        <v>996139.3</v>
      </c>
      <c r="I45" s="41"/>
      <c r="J45" s="41"/>
      <c r="K45" s="41"/>
      <c r="L45" s="41"/>
      <c r="M45" s="41"/>
      <c r="N45" s="41"/>
      <c r="O45" s="16"/>
    </row>
    <row r="46" spans="1:15" ht="15.75" x14ac:dyDescent="0.25">
      <c r="D46" s="84">
        <f>D45-H45</f>
        <v>-693411.58000000007</v>
      </c>
      <c r="I46" s="41"/>
      <c r="J46" s="41"/>
      <c r="K46" s="41"/>
      <c r="L46" s="41"/>
      <c r="M46" s="41"/>
      <c r="N46" s="41"/>
      <c r="O46" s="16"/>
    </row>
    <row r="47" spans="1:15" ht="15.75" x14ac:dyDescent="0.25">
      <c r="A47" s="78" t="s">
        <v>43</v>
      </c>
      <c r="B47" s="106" t="s">
        <v>52</v>
      </c>
      <c r="C47" s="107">
        <f>2209+500</f>
        <v>2709</v>
      </c>
      <c r="E47" s="80"/>
      <c r="I47" s="41"/>
      <c r="J47" s="41"/>
      <c r="K47" s="41"/>
      <c r="L47" s="41"/>
      <c r="M47" s="41"/>
      <c r="N47" s="41"/>
      <c r="O47" s="16"/>
    </row>
    <row r="48" spans="1:15" ht="15.75" x14ac:dyDescent="0.25">
      <c r="B48" s="106" t="s">
        <v>53</v>
      </c>
      <c r="C48" s="107">
        <v>227.97</v>
      </c>
      <c r="E48" s="80"/>
      <c r="I48" s="16"/>
      <c r="J48" s="16"/>
      <c r="K48" s="16"/>
      <c r="L48" s="16"/>
      <c r="M48" s="16"/>
      <c r="N48" s="16"/>
      <c r="O48" s="16"/>
    </row>
    <row r="49" spans="2:15" ht="15.75" x14ac:dyDescent="0.25">
      <c r="B49" s="105" t="s">
        <v>50</v>
      </c>
      <c r="C49" s="107">
        <f>39.95+25.6</f>
        <v>65.550000000000011</v>
      </c>
      <c r="E49" s="80"/>
      <c r="I49" s="16"/>
      <c r="J49" s="16"/>
      <c r="K49" s="16"/>
      <c r="L49" s="16"/>
      <c r="M49" s="16"/>
      <c r="N49" s="16"/>
      <c r="O49" s="16"/>
    </row>
    <row r="50" spans="2:15" ht="15.75" x14ac:dyDescent="0.25">
      <c r="B50" s="79"/>
      <c r="C50" s="103"/>
      <c r="E50" s="80"/>
      <c r="I50" s="16"/>
      <c r="J50" s="16"/>
      <c r="K50" s="16"/>
      <c r="L50" s="16"/>
      <c r="M50" s="16"/>
      <c r="N50" s="16"/>
      <c r="O50" s="16"/>
    </row>
    <row r="51" spans="2:15" ht="15.75" x14ac:dyDescent="0.25">
      <c r="B51" s="73"/>
      <c r="C51" s="104"/>
      <c r="E51" s="81"/>
      <c r="I51" s="16"/>
      <c r="J51" s="16"/>
      <c r="K51" s="16"/>
      <c r="L51" s="16"/>
      <c r="M51" s="16"/>
      <c r="N51" s="16"/>
      <c r="O51" s="16"/>
    </row>
    <row r="52" spans="2:15" ht="15.75" x14ac:dyDescent="0.25">
      <c r="B52" s="73"/>
      <c r="C52" s="74"/>
      <c r="I52" s="16"/>
      <c r="J52" s="16"/>
      <c r="K52" s="16"/>
      <c r="L52" s="16"/>
      <c r="M52" s="16"/>
      <c r="N52" s="16"/>
      <c r="O52" s="16"/>
    </row>
    <row r="53" spans="2:15" ht="15.75" x14ac:dyDescent="0.25">
      <c r="B53" s="73"/>
      <c r="C53" s="74"/>
      <c r="I53" s="16"/>
      <c r="J53" s="16"/>
      <c r="K53" s="16"/>
      <c r="L53" s="16"/>
      <c r="M53" s="16"/>
      <c r="N53" s="16"/>
      <c r="O53" s="16"/>
    </row>
    <row r="54" spans="2:15" ht="15.75" x14ac:dyDescent="0.25">
      <c r="B54" s="73"/>
      <c r="C54" s="74"/>
      <c r="I54" s="16"/>
      <c r="J54" s="16"/>
      <c r="K54" s="16"/>
      <c r="L54" s="16"/>
      <c r="M54" s="16"/>
      <c r="N54" s="16"/>
      <c r="O54" s="16"/>
    </row>
    <row r="55" spans="2:15" ht="15.75" x14ac:dyDescent="0.25">
      <c r="B55" s="73"/>
      <c r="C55" s="74"/>
    </row>
    <row r="56" spans="2:15" ht="15.75" x14ac:dyDescent="0.25">
      <c r="B56" s="73"/>
      <c r="C56" s="74"/>
    </row>
    <row r="57" spans="2:15" ht="15.75" x14ac:dyDescent="0.25">
      <c r="B57" s="73"/>
      <c r="C57" s="74"/>
    </row>
    <row r="58" spans="2:15" ht="15.75" x14ac:dyDescent="0.25">
      <c r="B58" s="73"/>
      <c r="C58" s="74"/>
    </row>
  </sheetData>
  <mergeCells count="5">
    <mergeCell ref="B2:H2"/>
    <mergeCell ref="A8:A30"/>
    <mergeCell ref="A32:A44"/>
    <mergeCell ref="G33:G42"/>
    <mergeCell ref="C33:C41"/>
  </mergeCells>
  <printOptions horizontalCentered="1" verticalCentered="1"/>
  <pageMargins left="0.70866141732283472" right="0.70866141732283472" top="0.15748031496062992" bottom="0.15748031496062992" header="0.31496062992125984" footer="0.31496062992125984"/>
  <pageSetup paperSize="9" scale="6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6B37C-9C71-4B15-AE1C-55A2BDBBDCB7}">
  <dimension ref="A2:O59"/>
  <sheetViews>
    <sheetView topLeftCell="A13" workbookViewId="0">
      <selection activeCell="D21" sqref="D21"/>
    </sheetView>
  </sheetViews>
  <sheetFormatPr defaultColWidth="12.5703125" defaultRowHeight="15" x14ac:dyDescent="0.25"/>
  <cols>
    <col min="1" max="1" width="6.42578125" customWidth="1"/>
    <col min="2" max="2" width="48.5703125" customWidth="1"/>
    <col min="3" max="3" width="15.42578125" style="1" customWidth="1"/>
    <col min="4" max="4" width="15.140625" style="1" customWidth="1"/>
    <col min="5" max="5" width="15.140625" customWidth="1"/>
    <col min="6" max="6" width="49.140625" customWidth="1"/>
    <col min="7" max="8" width="15.42578125" style="1" customWidth="1"/>
    <col min="10" max="10" width="15" bestFit="1" customWidth="1"/>
    <col min="13" max="13" width="4.85546875" customWidth="1"/>
    <col min="14" max="14" width="15" bestFit="1" customWidth="1"/>
  </cols>
  <sheetData>
    <row r="2" spans="1:15" ht="18.75" x14ac:dyDescent="0.3">
      <c r="B2" s="144" t="s">
        <v>63</v>
      </c>
      <c r="C2" s="144"/>
      <c r="D2" s="144"/>
      <c r="E2" s="144"/>
      <c r="F2" s="144"/>
      <c r="G2" s="144"/>
      <c r="H2" s="144"/>
    </row>
    <row r="6" spans="1:15" ht="7.5" customHeight="1" thickBot="1" x14ac:dyDescent="0.3"/>
    <row r="7" spans="1:15" s="2" customFormat="1" ht="21" customHeight="1" thickBot="1" x14ac:dyDescent="0.3">
      <c r="B7" s="3" t="s">
        <v>0</v>
      </c>
      <c r="C7" s="4" t="s">
        <v>1</v>
      </c>
      <c r="D7" s="5" t="s">
        <v>2</v>
      </c>
      <c r="E7" s="6" t="s">
        <v>3</v>
      </c>
      <c r="F7" s="3" t="s">
        <v>4</v>
      </c>
      <c r="G7" s="7" t="s">
        <v>1</v>
      </c>
      <c r="H7" s="7" t="s">
        <v>2</v>
      </c>
    </row>
    <row r="8" spans="1:15" ht="15.75" x14ac:dyDescent="0.25">
      <c r="A8" s="145" t="s">
        <v>5</v>
      </c>
      <c r="B8" s="8" t="s">
        <v>6</v>
      </c>
      <c r="C8" s="9">
        <v>797459.02</v>
      </c>
      <c r="D8" s="10">
        <v>335726.84</v>
      </c>
      <c r="E8" s="85">
        <f>+(D8/C8)</f>
        <v>0.42099572715347811</v>
      </c>
      <c r="F8" s="11" t="s">
        <v>7</v>
      </c>
      <c r="G8" s="12">
        <f>C31*0.8</f>
        <v>1212575.216</v>
      </c>
      <c r="H8" s="13">
        <f>D31</f>
        <v>465598.62000000005</v>
      </c>
      <c r="I8" s="14"/>
      <c r="J8" s="15">
        <f>D8-379500.78</f>
        <v>-43773.94</v>
      </c>
      <c r="K8" s="16"/>
      <c r="L8" s="16"/>
      <c r="M8" s="16"/>
      <c r="N8" s="16"/>
      <c r="O8" s="16"/>
    </row>
    <row r="9" spans="1:15" ht="15.75" x14ac:dyDescent="0.25">
      <c r="A9" s="146"/>
      <c r="B9" s="17"/>
      <c r="C9" s="18"/>
      <c r="D9" s="19"/>
      <c r="E9" s="86"/>
      <c r="F9" s="20" t="s">
        <v>8</v>
      </c>
      <c r="G9" s="21"/>
      <c r="H9" s="21"/>
      <c r="I9" s="16"/>
      <c r="J9" s="22"/>
      <c r="K9" s="16"/>
      <c r="L9" s="16"/>
      <c r="M9" s="16"/>
      <c r="N9" s="16"/>
      <c r="O9" s="16"/>
    </row>
    <row r="10" spans="1:15" ht="15.75" x14ac:dyDescent="0.25">
      <c r="A10" s="146"/>
      <c r="B10" s="23" t="s">
        <v>9</v>
      </c>
      <c r="C10" s="24">
        <f>SUM(C11:C12)</f>
        <v>326910</v>
      </c>
      <c r="D10" s="25">
        <f>SUM(D11:D12)</f>
        <v>120.27</v>
      </c>
      <c r="E10" s="85">
        <f t="shared" ref="E10" si="0">+(D10/C10)</f>
        <v>3.6789942185922727E-4</v>
      </c>
      <c r="F10" s="26"/>
      <c r="G10" s="21"/>
      <c r="H10" s="27"/>
      <c r="I10" s="14"/>
      <c r="J10" s="110"/>
      <c r="K10" s="16"/>
      <c r="L10" s="16"/>
      <c r="M10" s="16"/>
      <c r="N10" s="16"/>
      <c r="O10" s="16"/>
    </row>
    <row r="11" spans="1:15" ht="15.75" x14ac:dyDescent="0.25">
      <c r="A11" s="146"/>
      <c r="B11" s="17" t="s">
        <v>10</v>
      </c>
      <c r="C11" s="18">
        <v>134200</v>
      </c>
      <c r="D11" s="19">
        <f>201.63-81.36</f>
        <v>120.27</v>
      </c>
      <c r="E11" s="87"/>
      <c r="F11" s="28"/>
      <c r="G11" s="27"/>
      <c r="H11" s="21"/>
      <c r="I11" s="16"/>
      <c r="J11" s="110"/>
      <c r="K11" s="16"/>
      <c r="L11" s="16"/>
      <c r="M11" s="16"/>
      <c r="N11" s="16"/>
      <c r="O11" s="16"/>
    </row>
    <row r="12" spans="1:15" ht="15.75" x14ac:dyDescent="0.25">
      <c r="A12" s="146"/>
      <c r="B12" s="17" t="s">
        <v>11</v>
      </c>
      <c r="C12" s="18">
        <v>192710</v>
      </c>
      <c r="D12" s="19"/>
      <c r="E12" s="87"/>
      <c r="F12" s="97" t="s">
        <v>12</v>
      </c>
      <c r="G12" s="29">
        <f>C31*0.2</f>
        <v>303143.804</v>
      </c>
      <c r="H12" s="29">
        <f>SUM(H13:H21)</f>
        <v>182334.66999999998</v>
      </c>
      <c r="I12" s="16"/>
      <c r="J12" s="111"/>
      <c r="K12" s="31"/>
      <c r="L12" s="16"/>
      <c r="M12" s="16"/>
      <c r="N12" s="16"/>
      <c r="O12" s="16"/>
    </row>
    <row r="13" spans="1:15" ht="15.75" x14ac:dyDescent="0.25">
      <c r="A13" s="146"/>
      <c r="B13" s="17"/>
      <c r="C13" s="18"/>
      <c r="D13" s="19"/>
      <c r="E13" s="87"/>
      <c r="F13" s="17" t="s">
        <v>13</v>
      </c>
      <c r="G13" s="21"/>
      <c r="H13" s="21"/>
      <c r="I13" s="16"/>
      <c r="J13" s="41"/>
      <c r="K13" s="16"/>
      <c r="L13" s="16"/>
      <c r="M13" s="16"/>
      <c r="N13" s="16"/>
      <c r="O13" s="16"/>
    </row>
    <row r="14" spans="1:15" ht="15.75" x14ac:dyDescent="0.25">
      <c r="A14" s="146"/>
      <c r="B14" s="23" t="s">
        <v>14</v>
      </c>
      <c r="C14" s="32">
        <f>SUM(C15:C22)</f>
        <v>154600</v>
      </c>
      <c r="D14" s="33">
        <f>SUM(D15:D21)</f>
        <v>53099.68</v>
      </c>
      <c r="E14" s="88">
        <f>+(D14/C14)</f>
        <v>0.34346494178525228</v>
      </c>
      <c r="F14" s="38" t="s">
        <v>17</v>
      </c>
      <c r="G14" s="35"/>
      <c r="H14" s="35">
        <v>53950</v>
      </c>
      <c r="I14" s="14"/>
      <c r="J14" s="62"/>
      <c r="K14" s="16"/>
      <c r="L14" s="16"/>
      <c r="M14" s="16"/>
      <c r="N14" s="16"/>
      <c r="O14" s="16"/>
    </row>
    <row r="15" spans="1:15" ht="15.75" x14ac:dyDescent="0.25">
      <c r="A15" s="146"/>
      <c r="B15" s="17" t="s">
        <v>15</v>
      </c>
      <c r="C15" s="18">
        <v>40500</v>
      </c>
      <c r="D15" s="114">
        <f>2382.34+1548.79</f>
        <v>3931.13</v>
      </c>
      <c r="E15" s="87"/>
      <c r="F15" s="17" t="s">
        <v>21</v>
      </c>
      <c r="G15" s="21"/>
      <c r="H15" s="21">
        <v>10534.67</v>
      </c>
      <c r="I15" s="16"/>
      <c r="J15" s="41"/>
      <c r="K15" s="16"/>
      <c r="L15" s="16"/>
      <c r="M15" s="16"/>
      <c r="N15" s="16"/>
      <c r="O15" s="16"/>
    </row>
    <row r="16" spans="1:15" ht="15.75" x14ac:dyDescent="0.25">
      <c r="A16" s="146"/>
      <c r="B16" s="17" t="s">
        <v>16</v>
      </c>
      <c r="C16" s="37">
        <v>12000</v>
      </c>
      <c r="D16" s="114">
        <v>2793.7</v>
      </c>
      <c r="E16" s="87"/>
      <c r="F16" s="17" t="s">
        <v>19</v>
      </c>
      <c r="G16" s="39"/>
      <c r="H16" s="39">
        <v>111850</v>
      </c>
      <c r="I16" s="16"/>
      <c r="J16" s="41"/>
      <c r="K16" s="16"/>
      <c r="L16" s="16"/>
      <c r="M16" s="16"/>
      <c r="N16" s="16"/>
      <c r="O16" s="16"/>
    </row>
    <row r="17" spans="1:15" ht="15.75" x14ac:dyDescent="0.25">
      <c r="A17" s="146"/>
      <c r="B17" s="17" t="s">
        <v>18</v>
      </c>
      <c r="C17" s="18">
        <v>23000</v>
      </c>
      <c r="D17" s="116">
        <f>1670.37+1404.65</f>
        <v>3075.02</v>
      </c>
      <c r="E17" s="87"/>
      <c r="F17" s="17" t="s">
        <v>39</v>
      </c>
      <c r="G17" s="21"/>
      <c r="H17" s="21"/>
      <c r="I17" s="16"/>
      <c r="J17" s="41"/>
      <c r="K17" s="16"/>
      <c r="L17" s="16"/>
      <c r="M17" s="16"/>
      <c r="N17" s="16"/>
      <c r="O17" s="16"/>
    </row>
    <row r="18" spans="1:15" ht="15.75" x14ac:dyDescent="0.25">
      <c r="A18" s="146"/>
      <c r="B18" s="17" t="s">
        <v>20</v>
      </c>
      <c r="C18" s="18"/>
      <c r="D18" s="19"/>
      <c r="E18" s="87"/>
      <c r="F18" s="17" t="s">
        <v>45</v>
      </c>
      <c r="G18" s="21"/>
      <c r="H18" s="21"/>
      <c r="I18" s="41"/>
      <c r="J18" s="41"/>
      <c r="K18" s="41"/>
      <c r="L18" s="41"/>
      <c r="M18" s="41"/>
      <c r="N18" s="41"/>
      <c r="O18" s="16"/>
    </row>
    <row r="19" spans="1:15" ht="15.75" x14ac:dyDescent="0.25">
      <c r="A19" s="146"/>
      <c r="B19" s="17" t="s">
        <v>22</v>
      </c>
      <c r="C19" s="18">
        <v>42600</v>
      </c>
      <c r="D19" s="114">
        <v>30455.81</v>
      </c>
      <c r="E19" s="87"/>
      <c r="F19" s="17" t="s">
        <v>46</v>
      </c>
      <c r="G19" s="21"/>
      <c r="H19" s="21"/>
      <c r="I19" s="41"/>
      <c r="J19" s="41"/>
      <c r="K19" s="41"/>
      <c r="L19" s="41"/>
      <c r="M19" s="41"/>
      <c r="N19" s="41"/>
      <c r="O19" s="16"/>
    </row>
    <row r="20" spans="1:15" ht="15.75" x14ac:dyDescent="0.25">
      <c r="A20" s="146"/>
      <c r="B20" s="17" t="s">
        <v>23</v>
      </c>
      <c r="C20" s="18">
        <v>24000</v>
      </c>
      <c r="D20" s="19">
        <v>1718.2</v>
      </c>
      <c r="E20" s="87"/>
      <c r="F20" s="17" t="s">
        <v>47</v>
      </c>
      <c r="G20" s="21"/>
      <c r="H20" s="21">
        <v>6000</v>
      </c>
      <c r="I20" s="41"/>
      <c r="J20" s="41"/>
      <c r="K20" s="41"/>
      <c r="L20" s="41"/>
      <c r="M20" s="41"/>
      <c r="N20" s="41"/>
      <c r="O20" s="16"/>
    </row>
    <row r="21" spans="1:15" ht="15.75" x14ac:dyDescent="0.25">
      <c r="A21" s="146"/>
      <c r="B21" s="17" t="s">
        <v>24</v>
      </c>
      <c r="C21" s="18">
        <v>12500</v>
      </c>
      <c r="D21" s="83">
        <f>1441.82+3460+200+850+1524+3650</f>
        <v>11125.82</v>
      </c>
      <c r="E21" s="87"/>
      <c r="F21" s="17" t="s">
        <v>55</v>
      </c>
      <c r="G21" s="21"/>
      <c r="H21" s="21"/>
      <c r="I21" s="41"/>
      <c r="J21" s="41"/>
      <c r="K21" s="41"/>
      <c r="L21" s="41"/>
      <c r="M21" s="41"/>
      <c r="N21" s="41"/>
      <c r="O21" s="16"/>
    </row>
    <row r="22" spans="1:15" ht="15.75" x14ac:dyDescent="0.25">
      <c r="A22" s="146"/>
      <c r="B22" s="34"/>
      <c r="C22" s="42"/>
      <c r="D22" s="82"/>
      <c r="E22" s="87"/>
      <c r="F22" s="35"/>
      <c r="G22" s="35"/>
      <c r="H22" s="35"/>
      <c r="I22" s="41"/>
      <c r="J22" s="112"/>
      <c r="K22" s="41"/>
      <c r="L22" s="41"/>
      <c r="M22" s="41"/>
      <c r="N22" s="41"/>
      <c r="O22" s="16"/>
    </row>
    <row r="23" spans="1:15" ht="15.75" x14ac:dyDescent="0.25">
      <c r="A23" s="146"/>
      <c r="B23" s="44" t="s">
        <v>25</v>
      </c>
      <c r="C23" s="45">
        <f>SUM(C24:C29)</f>
        <v>236750</v>
      </c>
      <c r="D23" s="46">
        <f>SUM(D24:D30)</f>
        <v>76651.83</v>
      </c>
      <c r="E23" s="89">
        <f t="shared" ref="E23" si="1">+(D23/C23)</f>
        <v>0.32376696937697996</v>
      </c>
      <c r="F23" s="35"/>
      <c r="G23" s="35"/>
      <c r="H23" s="35"/>
      <c r="I23" s="41"/>
      <c r="J23" s="41"/>
      <c r="K23" s="41"/>
      <c r="L23" s="41"/>
      <c r="M23" s="41"/>
      <c r="N23" s="41"/>
      <c r="O23" s="16"/>
    </row>
    <row r="24" spans="1:15" ht="15.75" x14ac:dyDescent="0.25">
      <c r="A24" s="146"/>
      <c r="B24" s="34" t="s">
        <v>26</v>
      </c>
      <c r="C24" s="42">
        <v>15000</v>
      </c>
      <c r="D24" s="43"/>
      <c r="E24" s="87"/>
      <c r="F24" s="35"/>
      <c r="G24" s="35"/>
      <c r="H24" s="35"/>
      <c r="I24" s="41"/>
      <c r="J24" s="41"/>
      <c r="K24" s="41"/>
      <c r="L24" s="41"/>
      <c r="M24" s="41"/>
      <c r="N24" s="41"/>
      <c r="O24" s="16"/>
    </row>
    <row r="25" spans="1:15" ht="15.75" x14ac:dyDescent="0.25">
      <c r="A25" s="146"/>
      <c r="B25" s="34" t="s">
        <v>27</v>
      </c>
      <c r="C25" s="42">
        <v>30750</v>
      </c>
      <c r="D25" s="43"/>
      <c r="E25" s="87"/>
      <c r="F25" s="34"/>
      <c r="G25" s="35"/>
      <c r="H25" s="35"/>
      <c r="I25" s="41"/>
      <c r="J25" s="41"/>
      <c r="K25" s="41"/>
      <c r="L25" s="41"/>
      <c r="M25" s="41"/>
      <c r="N25" s="41"/>
      <c r="O25" s="16"/>
    </row>
    <row r="26" spans="1:15" ht="15.75" x14ac:dyDescent="0.25">
      <c r="A26" s="146"/>
      <c r="B26" s="34" t="s">
        <v>28</v>
      </c>
      <c r="C26" s="42">
        <v>18000</v>
      </c>
      <c r="D26" s="43">
        <v>294.3</v>
      </c>
      <c r="E26" s="87"/>
      <c r="F26" s="35"/>
      <c r="G26" s="35"/>
      <c r="H26" s="35"/>
      <c r="I26" s="41"/>
      <c r="J26" s="41"/>
      <c r="K26" s="41"/>
      <c r="L26" s="41"/>
      <c r="M26" s="41"/>
      <c r="N26" s="41"/>
      <c r="O26" s="16"/>
    </row>
    <row r="27" spans="1:15" ht="15.75" x14ac:dyDescent="0.25">
      <c r="A27" s="146"/>
      <c r="B27" s="34" t="s">
        <v>29</v>
      </c>
      <c r="C27" s="42">
        <v>5500</v>
      </c>
      <c r="D27" s="43"/>
      <c r="E27" s="87"/>
      <c r="F27" s="34"/>
      <c r="G27" s="35"/>
      <c r="H27" s="35"/>
      <c r="I27" s="41"/>
      <c r="J27" s="41"/>
      <c r="K27" s="41"/>
      <c r="L27" s="41"/>
      <c r="M27" s="41"/>
      <c r="N27" s="41"/>
      <c r="O27" s="16"/>
    </row>
    <row r="28" spans="1:15" ht="15.75" x14ac:dyDescent="0.25">
      <c r="A28" s="146"/>
      <c r="B28" s="34" t="s">
        <v>30</v>
      </c>
      <c r="C28" s="42">
        <v>22000</v>
      </c>
      <c r="D28" s="115">
        <v>13805.45</v>
      </c>
      <c r="E28" s="87"/>
      <c r="F28" s="34"/>
      <c r="G28" s="35"/>
      <c r="H28" s="35"/>
      <c r="I28" s="41"/>
      <c r="J28" s="62"/>
      <c r="K28" s="41"/>
      <c r="L28" s="41"/>
      <c r="M28" s="41"/>
      <c r="N28" s="41"/>
      <c r="O28" s="16"/>
    </row>
    <row r="29" spans="1:15" ht="15.75" x14ac:dyDescent="0.25">
      <c r="A29" s="146"/>
      <c r="B29" s="34" t="s">
        <v>31</v>
      </c>
      <c r="C29" s="42">
        <v>145500</v>
      </c>
      <c r="D29" s="115">
        <v>62552.08</v>
      </c>
      <c r="E29" s="87"/>
      <c r="F29" s="34"/>
      <c r="G29" s="35"/>
      <c r="H29" s="35"/>
      <c r="I29" s="41"/>
      <c r="J29" s="41"/>
      <c r="K29" s="41"/>
      <c r="L29" s="41"/>
      <c r="M29" s="41"/>
      <c r="N29" s="41"/>
      <c r="O29" s="16"/>
    </row>
    <row r="30" spans="1:15" ht="16.5" thickBot="1" x14ac:dyDescent="0.3">
      <c r="A30" s="146"/>
      <c r="B30" s="34"/>
      <c r="C30" s="42"/>
      <c r="D30" s="43"/>
      <c r="E30" s="90"/>
      <c r="F30" s="34"/>
      <c r="G30" s="35"/>
      <c r="H30" s="35"/>
      <c r="I30" s="41"/>
      <c r="J30" s="41"/>
      <c r="K30" s="41"/>
      <c r="L30" s="41"/>
      <c r="M30" s="41"/>
      <c r="N30" s="41"/>
      <c r="O30" s="16"/>
    </row>
    <row r="31" spans="1:15" s="2" customFormat="1" ht="20.25" customHeight="1" thickBot="1" x14ac:dyDescent="0.3">
      <c r="A31" s="6"/>
      <c r="B31" s="47" t="s">
        <v>32</v>
      </c>
      <c r="C31" s="48">
        <f>C23+C14+C10+C8</f>
        <v>1515719.02</v>
      </c>
      <c r="D31" s="49">
        <f>D23+D14+D10+D8</f>
        <v>465598.62000000005</v>
      </c>
      <c r="E31" s="91">
        <f>+(D31/C31)</f>
        <v>0.30718003393531346</v>
      </c>
      <c r="F31" s="47" t="s">
        <v>32</v>
      </c>
      <c r="G31" s="50">
        <f>G12+G8</f>
        <v>1515719.02</v>
      </c>
      <c r="H31" s="50">
        <f>H12+H8</f>
        <v>647933.29</v>
      </c>
      <c r="I31" s="51"/>
      <c r="J31" s="108"/>
      <c r="K31" s="52"/>
      <c r="L31" s="52"/>
      <c r="M31" s="52"/>
      <c r="N31" s="52"/>
      <c r="O31" s="53"/>
    </row>
    <row r="32" spans="1:15" s="2" customFormat="1" ht="20.25" customHeight="1" thickBot="1" x14ac:dyDescent="0.3">
      <c r="A32" s="145" t="s">
        <v>33</v>
      </c>
      <c r="B32" s="54" t="s">
        <v>34</v>
      </c>
      <c r="C32" s="75">
        <f>SUM(C33:C44)</f>
        <v>0</v>
      </c>
      <c r="D32" s="57">
        <f>SUM(D33:E44)</f>
        <v>160177.86000000002</v>
      </c>
      <c r="E32" s="92"/>
      <c r="F32" s="55" t="s">
        <v>35</v>
      </c>
      <c r="G32" s="56">
        <f>SUM(G33:G42)</f>
        <v>0</v>
      </c>
      <c r="H32" s="57">
        <f>SUM(H33:H42)</f>
        <v>167650.40000000002</v>
      </c>
      <c r="I32" s="52"/>
      <c r="J32" s="52"/>
      <c r="K32" s="52"/>
      <c r="L32" s="52"/>
      <c r="M32" s="52"/>
      <c r="N32" s="52"/>
      <c r="O32" s="53"/>
    </row>
    <row r="33" spans="1:15" ht="15.75" x14ac:dyDescent="0.25">
      <c r="A33" s="146"/>
      <c r="B33" s="58" t="s">
        <v>36</v>
      </c>
      <c r="C33" s="148" t="s">
        <v>54</v>
      </c>
      <c r="D33" s="19">
        <f>10794.25+10073.94+352.88+3893.36+98.67</f>
        <v>25213.100000000002</v>
      </c>
      <c r="E33" s="93"/>
      <c r="F33" s="98" t="s">
        <v>36</v>
      </c>
      <c r="G33" s="148" t="s">
        <v>54</v>
      </c>
      <c r="H33" s="21">
        <f t="shared" ref="H33:H38" si="2">D33</f>
        <v>25213.100000000002</v>
      </c>
      <c r="I33" s="41"/>
      <c r="J33" s="41"/>
      <c r="K33" s="41"/>
      <c r="L33" s="41"/>
      <c r="M33" s="41"/>
      <c r="N33" s="41"/>
      <c r="O33" s="16"/>
    </row>
    <row r="34" spans="1:15" ht="15.75" x14ac:dyDescent="0.25">
      <c r="A34" s="146"/>
      <c r="B34" s="59" t="s">
        <v>37</v>
      </c>
      <c r="C34" s="149"/>
      <c r="D34" s="21">
        <f>21273.74+22856.27+393.23+457.12</f>
        <v>44980.360000000008</v>
      </c>
      <c r="E34" s="94"/>
      <c r="F34" s="36" t="str">
        <f>+B34</f>
        <v>I2I</v>
      </c>
      <c r="G34" s="149"/>
      <c r="H34" s="21">
        <f t="shared" si="2"/>
        <v>44980.360000000008</v>
      </c>
      <c r="I34" s="41"/>
      <c r="J34" s="41"/>
      <c r="K34" s="41"/>
      <c r="L34" s="41"/>
      <c r="M34" s="41"/>
      <c r="N34" s="41"/>
      <c r="O34" s="16"/>
    </row>
    <row r="35" spans="1:15" ht="15.75" x14ac:dyDescent="0.25">
      <c r="A35" s="146"/>
      <c r="B35" s="17" t="s">
        <v>49</v>
      </c>
      <c r="C35" s="149"/>
      <c r="D35" s="21">
        <v>34632</v>
      </c>
      <c r="E35" s="94"/>
      <c r="F35" s="36" t="str">
        <f>B35</f>
        <v>Waicoop</v>
      </c>
      <c r="G35" s="149"/>
      <c r="H35" s="21">
        <f t="shared" si="2"/>
        <v>34632</v>
      </c>
      <c r="I35" s="41"/>
      <c r="J35" s="41"/>
      <c r="K35" s="41"/>
      <c r="L35" s="41"/>
      <c r="M35" s="41"/>
      <c r="N35" s="41"/>
      <c r="O35" s="16"/>
    </row>
    <row r="36" spans="1:15" ht="15.75" x14ac:dyDescent="0.25">
      <c r="A36" s="146"/>
      <c r="B36" s="36" t="s">
        <v>38</v>
      </c>
      <c r="C36" s="149"/>
      <c r="D36" s="21">
        <v>0</v>
      </c>
      <c r="E36" s="94"/>
      <c r="F36" s="36" t="s">
        <v>38</v>
      </c>
      <c r="G36" s="149"/>
      <c r="H36" s="21">
        <f t="shared" si="2"/>
        <v>0</v>
      </c>
      <c r="I36" s="41"/>
      <c r="J36" s="41"/>
      <c r="K36" s="41"/>
      <c r="L36" s="41"/>
      <c r="M36" s="41"/>
      <c r="N36" s="41"/>
      <c r="O36" s="16"/>
    </row>
    <row r="37" spans="1:15" ht="15.75" x14ac:dyDescent="0.25">
      <c r="A37" s="146"/>
      <c r="B37" s="17" t="s">
        <v>41</v>
      </c>
      <c r="C37" s="149"/>
      <c r="D37" s="21">
        <v>0</v>
      </c>
      <c r="E37" s="61"/>
      <c r="F37" s="17" t="s">
        <v>41</v>
      </c>
      <c r="G37" s="149"/>
      <c r="H37" s="21">
        <f t="shared" si="2"/>
        <v>0</v>
      </c>
      <c r="I37" s="41"/>
      <c r="J37" s="41"/>
      <c r="K37" s="41"/>
      <c r="L37" s="41"/>
      <c r="M37" s="41"/>
      <c r="N37" s="41"/>
      <c r="O37" s="16"/>
    </row>
    <row r="38" spans="1:15" ht="15.75" x14ac:dyDescent="0.25">
      <c r="A38" s="146"/>
      <c r="B38" s="17" t="s">
        <v>42</v>
      </c>
      <c r="C38" s="149"/>
      <c r="D38" s="21">
        <f>19279.16+167.71+21365.93</f>
        <v>40812.800000000003</v>
      </c>
      <c r="E38" s="61"/>
      <c r="F38" s="17" t="s">
        <v>42</v>
      </c>
      <c r="G38" s="149"/>
      <c r="H38" s="21">
        <f t="shared" si="2"/>
        <v>40812.800000000003</v>
      </c>
      <c r="I38" s="41"/>
      <c r="J38" s="41"/>
      <c r="K38" s="41"/>
      <c r="L38" s="41"/>
      <c r="M38" s="41"/>
      <c r="N38" s="41"/>
      <c r="O38" s="16"/>
    </row>
    <row r="39" spans="1:15" ht="15.75" x14ac:dyDescent="0.25">
      <c r="A39" s="146"/>
      <c r="B39" s="17" t="s">
        <v>39</v>
      </c>
      <c r="C39" s="149"/>
      <c r="D39" s="21">
        <f>1448.19+1778.7</f>
        <v>3226.8900000000003</v>
      </c>
      <c r="E39" s="61"/>
      <c r="F39" s="36" t="str">
        <f>B39</f>
        <v>Wellspring</v>
      </c>
      <c r="G39" s="149"/>
      <c r="H39" s="21">
        <f>D39</f>
        <v>3226.8900000000003</v>
      </c>
      <c r="I39" s="41"/>
      <c r="J39" s="41"/>
      <c r="K39" s="41"/>
      <c r="L39" s="41"/>
      <c r="M39" s="41"/>
      <c r="N39" s="41"/>
      <c r="O39" s="16"/>
    </row>
    <row r="40" spans="1:15" ht="15.75" x14ac:dyDescent="0.25">
      <c r="A40" s="146"/>
      <c r="B40" s="17" t="s">
        <v>56</v>
      </c>
      <c r="C40" s="149"/>
      <c r="D40" s="21">
        <f>363+480.98+2554.98+4064</f>
        <v>7462.96</v>
      </c>
      <c r="E40" s="61"/>
      <c r="F40" s="99" t="str">
        <f>B40</f>
        <v>UNSDR</v>
      </c>
      <c r="G40" s="149"/>
      <c r="H40" s="21">
        <f>D40</f>
        <v>7462.96</v>
      </c>
      <c r="I40" s="41"/>
      <c r="J40" s="41"/>
      <c r="K40" s="41"/>
      <c r="L40" s="41"/>
      <c r="M40" s="41"/>
      <c r="N40" s="41"/>
      <c r="O40" s="16"/>
    </row>
    <row r="41" spans="1:15" ht="15.75" x14ac:dyDescent="0.25">
      <c r="A41" s="146"/>
      <c r="B41" s="17" t="s">
        <v>51</v>
      </c>
      <c r="C41" s="149"/>
      <c r="D41" s="21">
        <f>C48+C49+C50</f>
        <v>3849.75</v>
      </c>
      <c r="E41" s="61"/>
      <c r="F41" s="36" t="s">
        <v>19</v>
      </c>
      <c r="G41" s="149"/>
      <c r="H41" s="21">
        <v>0</v>
      </c>
      <c r="I41" s="41"/>
      <c r="J41" s="41"/>
      <c r="K41" s="41"/>
      <c r="L41" s="41"/>
      <c r="M41" s="41"/>
      <c r="N41" s="41"/>
      <c r="O41" s="16"/>
    </row>
    <row r="42" spans="1:15" ht="15.75" x14ac:dyDescent="0.25">
      <c r="A42" s="146"/>
      <c r="B42" s="17"/>
      <c r="C42" s="150"/>
      <c r="D42" s="35"/>
      <c r="E42" s="61"/>
      <c r="F42" s="100" t="s">
        <v>57</v>
      </c>
      <c r="G42" s="149"/>
      <c r="H42" s="35">
        <f>262.36+5323.18+4156.53+1580.22</f>
        <v>11322.289999999999</v>
      </c>
      <c r="I42" s="41"/>
      <c r="J42" s="41"/>
      <c r="K42" s="41"/>
      <c r="L42" s="41"/>
      <c r="M42" s="41"/>
      <c r="N42" s="41"/>
      <c r="O42" s="16"/>
    </row>
    <row r="43" spans="1:15" ht="15.75" x14ac:dyDescent="0.25">
      <c r="A43" s="146"/>
      <c r="B43" s="17"/>
      <c r="C43" s="60"/>
      <c r="D43" s="21"/>
      <c r="E43" s="94"/>
      <c r="F43" s="36"/>
      <c r="G43" s="150"/>
      <c r="H43" s="21"/>
      <c r="I43" s="41"/>
      <c r="J43" s="62"/>
      <c r="K43" s="41"/>
      <c r="L43" s="41"/>
      <c r="M43" s="41"/>
      <c r="N43" s="41"/>
      <c r="O43" s="16"/>
    </row>
    <row r="44" spans="1:15" ht="18" customHeight="1" thickBot="1" x14ac:dyDescent="0.3">
      <c r="A44" s="146"/>
      <c r="B44" s="63" t="s">
        <v>44</v>
      </c>
      <c r="C44" s="64"/>
      <c r="D44" s="77"/>
      <c r="E44" s="95"/>
      <c r="F44" s="101"/>
      <c r="G44" s="65"/>
      <c r="H44" s="65"/>
      <c r="I44" s="41"/>
      <c r="J44" s="62"/>
      <c r="K44" s="41"/>
      <c r="L44" s="41"/>
      <c r="M44" s="41"/>
      <c r="N44" s="41"/>
      <c r="O44" s="16"/>
    </row>
    <row r="45" spans="1:15" ht="24" customHeight="1" thickBot="1" x14ac:dyDescent="0.3">
      <c r="A45" s="147"/>
      <c r="B45" s="66" t="s">
        <v>32</v>
      </c>
      <c r="C45" s="76">
        <f>SUM(C33:C44)</f>
        <v>0</v>
      </c>
      <c r="D45" s="67">
        <f>SUM(D33:D44)</f>
        <v>160177.86000000002</v>
      </c>
      <c r="E45" s="96"/>
      <c r="F45" s="102" t="s">
        <v>32</v>
      </c>
      <c r="G45" s="67">
        <f>SUM(G33:G44)</f>
        <v>0</v>
      </c>
      <c r="H45" s="109">
        <f>SUM(H33:H43)</f>
        <v>167650.40000000002</v>
      </c>
      <c r="I45" s="41"/>
      <c r="J45" s="41"/>
      <c r="K45" s="41"/>
      <c r="L45" s="41"/>
      <c r="M45" s="41"/>
      <c r="N45" s="41"/>
      <c r="O45" s="16"/>
    </row>
    <row r="46" spans="1:15" ht="24" customHeight="1" thickBot="1" x14ac:dyDescent="0.3">
      <c r="B46" s="68" t="s">
        <v>40</v>
      </c>
      <c r="C46" s="69">
        <f>C45+C31</f>
        <v>1515719.02</v>
      </c>
      <c r="D46" s="69">
        <f>D45+D31</f>
        <v>625776.4800000001</v>
      </c>
      <c r="E46" s="70"/>
      <c r="F46" s="71" t="s">
        <v>40</v>
      </c>
      <c r="G46" s="69">
        <f>G31+G45</f>
        <v>1515719.02</v>
      </c>
      <c r="H46" s="72">
        <f>H31+H45</f>
        <v>815583.69000000006</v>
      </c>
      <c r="I46" s="41"/>
      <c r="J46" s="41"/>
      <c r="K46" s="41"/>
      <c r="L46" s="41"/>
      <c r="M46" s="41"/>
      <c r="N46" s="41"/>
      <c r="O46" s="16"/>
    </row>
    <row r="47" spans="1:15" ht="15.75" x14ac:dyDescent="0.25">
      <c r="D47" s="84">
        <f>D46-H46</f>
        <v>-189807.20999999996</v>
      </c>
      <c r="I47" s="41"/>
      <c r="J47" s="41"/>
      <c r="K47" s="41"/>
      <c r="L47" s="41"/>
      <c r="M47" s="41"/>
      <c r="N47" s="41"/>
      <c r="O47" s="16"/>
    </row>
    <row r="48" spans="1:15" ht="15.75" x14ac:dyDescent="0.25">
      <c r="A48" s="78" t="s">
        <v>43</v>
      </c>
      <c r="B48" s="106" t="s">
        <v>52</v>
      </c>
      <c r="C48" s="107">
        <f>2209+500</f>
        <v>2709</v>
      </c>
      <c r="E48" s="113" t="s">
        <v>58</v>
      </c>
      <c r="F48" t="s">
        <v>62</v>
      </c>
      <c r="I48" s="41"/>
      <c r="J48" s="41"/>
      <c r="K48" s="41"/>
      <c r="L48" s="41"/>
      <c r="M48" s="41"/>
      <c r="N48" s="41"/>
      <c r="O48" s="16"/>
    </row>
    <row r="49" spans="2:15" ht="15.75" x14ac:dyDescent="0.25">
      <c r="B49" s="106" t="s">
        <v>53</v>
      </c>
      <c r="C49" s="107">
        <v>1075.2</v>
      </c>
      <c r="E49" s="80"/>
      <c r="F49" t="s">
        <v>59</v>
      </c>
      <c r="G49" s="1">
        <v>5323.18</v>
      </c>
      <c r="I49" s="16"/>
      <c r="J49" s="16"/>
      <c r="K49" s="16"/>
      <c r="L49" s="16"/>
      <c r="M49" s="16"/>
      <c r="N49" s="16"/>
      <c r="O49" s="16"/>
    </row>
    <row r="50" spans="2:15" ht="15.75" x14ac:dyDescent="0.25">
      <c r="B50" s="105" t="s">
        <v>50</v>
      </c>
      <c r="C50" s="107">
        <f>39.95+25.6</f>
        <v>65.550000000000011</v>
      </c>
      <c r="E50" s="80"/>
      <c r="F50" t="s">
        <v>60</v>
      </c>
      <c r="G50" s="1">
        <v>4156.53</v>
      </c>
      <c r="I50" s="16"/>
      <c r="J50" s="16"/>
      <c r="K50" s="16"/>
      <c r="L50" s="16"/>
      <c r="M50" s="16"/>
      <c r="N50" s="16"/>
      <c r="O50" s="16"/>
    </row>
    <row r="51" spans="2:15" ht="15.75" x14ac:dyDescent="0.25">
      <c r="B51" s="79"/>
      <c r="C51" s="103"/>
      <c r="E51" s="80"/>
      <c r="F51" t="s">
        <v>61</v>
      </c>
      <c r="G51" s="1">
        <v>1580.22</v>
      </c>
      <c r="I51" s="16"/>
      <c r="J51" s="16"/>
      <c r="K51" s="16"/>
      <c r="L51" s="16"/>
      <c r="M51" s="16"/>
      <c r="N51" s="16"/>
      <c r="O51" s="16"/>
    </row>
    <row r="52" spans="2:15" ht="15.75" x14ac:dyDescent="0.25">
      <c r="B52" s="73"/>
      <c r="C52" s="104"/>
      <c r="E52" s="81"/>
      <c r="I52" s="16"/>
      <c r="J52" s="16"/>
      <c r="K52" s="16"/>
      <c r="L52" s="16"/>
      <c r="M52" s="16"/>
      <c r="N52" s="16"/>
      <c r="O52" s="16"/>
    </row>
    <row r="53" spans="2:15" ht="15.75" x14ac:dyDescent="0.25">
      <c r="B53" s="73"/>
      <c r="C53" s="74"/>
      <c r="I53" s="16"/>
      <c r="J53" s="16"/>
      <c r="K53" s="16"/>
      <c r="L53" s="16"/>
      <c r="M53" s="16"/>
      <c r="N53" s="16"/>
      <c r="O53" s="16"/>
    </row>
    <row r="54" spans="2:15" ht="15.75" x14ac:dyDescent="0.25">
      <c r="B54" s="73"/>
      <c r="C54" s="74"/>
      <c r="I54" s="16"/>
      <c r="J54" s="16"/>
      <c r="K54" s="16"/>
      <c r="L54" s="16"/>
      <c r="M54" s="16"/>
      <c r="N54" s="16"/>
      <c r="O54" s="16"/>
    </row>
    <row r="55" spans="2:15" ht="15.75" x14ac:dyDescent="0.25">
      <c r="B55" s="73"/>
      <c r="C55" s="74"/>
      <c r="I55" s="16"/>
      <c r="J55" s="16"/>
      <c r="K55" s="16"/>
      <c r="L55" s="16"/>
      <c r="M55" s="16"/>
      <c r="N55" s="16"/>
      <c r="O55" s="16"/>
    </row>
    <row r="56" spans="2:15" ht="15.75" x14ac:dyDescent="0.25">
      <c r="B56" s="73"/>
      <c r="C56" s="74"/>
    </row>
    <row r="57" spans="2:15" ht="15.75" x14ac:dyDescent="0.25">
      <c r="B57" s="73"/>
      <c r="C57" s="74"/>
    </row>
    <row r="58" spans="2:15" ht="15.75" x14ac:dyDescent="0.25">
      <c r="B58" s="73"/>
      <c r="C58" s="74"/>
    </row>
    <row r="59" spans="2:15" ht="15.75" x14ac:dyDescent="0.25">
      <c r="B59" s="73"/>
      <c r="C59" s="74"/>
    </row>
  </sheetData>
  <mergeCells count="5">
    <mergeCell ref="B2:H2"/>
    <mergeCell ref="A8:A30"/>
    <mergeCell ref="A32:A45"/>
    <mergeCell ref="C33:C42"/>
    <mergeCell ref="G33:G4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436FA-0DE3-4787-8782-C664592C310F}">
  <dimension ref="A2:O60"/>
  <sheetViews>
    <sheetView workbookViewId="0">
      <selection sqref="A1:XFD1048576"/>
    </sheetView>
  </sheetViews>
  <sheetFormatPr defaultColWidth="12.5703125" defaultRowHeight="15" x14ac:dyDescent="0.25"/>
  <cols>
    <col min="1" max="1" width="6.42578125" customWidth="1"/>
    <col min="2" max="2" width="48.5703125" customWidth="1"/>
    <col min="3" max="3" width="15.42578125" style="1" customWidth="1"/>
    <col min="4" max="4" width="15.140625" style="1" customWidth="1"/>
    <col min="5" max="5" width="15.140625" customWidth="1"/>
    <col min="6" max="6" width="49.140625" customWidth="1"/>
    <col min="7" max="8" width="15.42578125" style="1" customWidth="1"/>
    <col min="10" max="10" width="15" bestFit="1" customWidth="1"/>
    <col min="13" max="13" width="4.85546875" customWidth="1"/>
    <col min="14" max="14" width="15" bestFit="1" customWidth="1"/>
  </cols>
  <sheetData>
    <row r="2" spans="1:15" ht="18.75" x14ac:dyDescent="0.3">
      <c r="B2" s="144" t="s">
        <v>64</v>
      </c>
      <c r="C2" s="144"/>
      <c r="D2" s="144"/>
      <c r="E2" s="144"/>
      <c r="F2" s="144"/>
      <c r="G2" s="144"/>
      <c r="H2" s="144"/>
    </row>
    <row r="6" spans="1:15" ht="7.5" customHeight="1" thickBot="1" x14ac:dyDescent="0.3"/>
    <row r="7" spans="1:15" s="2" customFormat="1" ht="21" customHeight="1" thickBot="1" x14ac:dyDescent="0.3">
      <c r="B7" s="3" t="s">
        <v>0</v>
      </c>
      <c r="C7" s="4" t="s">
        <v>1</v>
      </c>
      <c r="D7" s="5" t="s">
        <v>2</v>
      </c>
      <c r="E7" s="6" t="s">
        <v>3</v>
      </c>
      <c r="F7" s="3" t="s">
        <v>4</v>
      </c>
      <c r="G7" s="7" t="s">
        <v>1</v>
      </c>
      <c r="H7" s="7" t="s">
        <v>2</v>
      </c>
    </row>
    <row r="8" spans="1:15" ht="15.75" x14ac:dyDescent="0.25">
      <c r="A8" s="145" t="s">
        <v>5</v>
      </c>
      <c r="B8" s="8" t="s">
        <v>6</v>
      </c>
      <c r="C8" s="9">
        <v>797459.02</v>
      </c>
      <c r="D8" s="10">
        <v>545318</v>
      </c>
      <c r="E8" s="85">
        <f>+(D8/C8)</f>
        <v>0.68381946447856345</v>
      </c>
      <c r="F8" s="11" t="s">
        <v>7</v>
      </c>
      <c r="G8" s="12">
        <f>C31*0.8</f>
        <v>1212575.216</v>
      </c>
      <c r="H8" s="13">
        <f>D31</f>
        <v>773179</v>
      </c>
      <c r="I8" s="14"/>
      <c r="J8" s="15">
        <f>D8-379500.78</f>
        <v>165817.21999999997</v>
      </c>
      <c r="K8" s="16"/>
      <c r="L8" s="16"/>
      <c r="M8" s="16"/>
      <c r="N8" s="16"/>
      <c r="O8" s="16"/>
    </row>
    <row r="9" spans="1:15" ht="15.75" x14ac:dyDescent="0.25">
      <c r="A9" s="146"/>
      <c r="B9" s="17"/>
      <c r="C9" s="18"/>
      <c r="D9" s="19"/>
      <c r="E9" s="86"/>
      <c r="F9" s="20" t="s">
        <v>8</v>
      </c>
      <c r="G9" s="21"/>
      <c r="H9" s="21"/>
      <c r="I9" s="16">
        <f>H8*0.2</f>
        <v>154635.80000000002</v>
      </c>
      <c r="J9" s="22"/>
      <c r="K9" s="16"/>
      <c r="L9" s="16"/>
      <c r="M9" s="16"/>
      <c r="N9" s="16"/>
      <c r="O9" s="16"/>
    </row>
    <row r="10" spans="1:15" ht="15.75" x14ac:dyDescent="0.25">
      <c r="A10" s="146"/>
      <c r="B10" s="23" t="s">
        <v>9</v>
      </c>
      <c r="C10" s="24">
        <f>SUM(C11:C12)</f>
        <v>326910</v>
      </c>
      <c r="D10" s="25">
        <f>SUM(D11:D12)</f>
        <v>182</v>
      </c>
      <c r="E10" s="85">
        <f t="shared" ref="E10" si="0">+(D10/C10)</f>
        <v>5.5672815147900039E-4</v>
      </c>
      <c r="F10" s="26"/>
      <c r="G10" s="21"/>
      <c r="H10" s="27"/>
      <c r="I10" s="14"/>
      <c r="J10" s="110"/>
      <c r="K10" s="16"/>
      <c r="L10" s="16"/>
      <c r="M10" s="16"/>
      <c r="N10" s="16"/>
      <c r="O10" s="16"/>
    </row>
    <row r="11" spans="1:15" ht="15.75" x14ac:dyDescent="0.25">
      <c r="A11" s="146"/>
      <c r="B11" s="17" t="s">
        <v>10</v>
      </c>
      <c r="C11" s="18">
        <v>134200</v>
      </c>
      <c r="D11" s="19">
        <v>120</v>
      </c>
      <c r="E11" s="87"/>
      <c r="F11" s="28"/>
      <c r="G11" s="27"/>
      <c r="H11" s="21"/>
      <c r="I11" s="16"/>
      <c r="J11" s="110"/>
      <c r="K11" s="16"/>
      <c r="L11" s="16"/>
      <c r="M11" s="16"/>
      <c r="N11" s="16"/>
      <c r="O11" s="16"/>
    </row>
    <row r="12" spans="1:15" ht="15.75" x14ac:dyDescent="0.25">
      <c r="A12" s="146"/>
      <c r="B12" s="17" t="s">
        <v>11</v>
      </c>
      <c r="C12" s="18">
        <v>192710</v>
      </c>
      <c r="D12" s="19">
        <v>62</v>
      </c>
      <c r="E12" s="87"/>
      <c r="F12" s="97" t="s">
        <v>12</v>
      </c>
      <c r="G12" s="29">
        <f>C31*0.2</f>
        <v>303143.804</v>
      </c>
      <c r="H12" s="29">
        <f>SUM(H13:H21)</f>
        <v>224624</v>
      </c>
      <c r="I12" s="16"/>
      <c r="J12" s="111"/>
      <c r="K12" s="31"/>
      <c r="L12" s="16"/>
      <c r="M12" s="16"/>
      <c r="N12" s="16"/>
      <c r="O12" s="16"/>
    </row>
    <row r="13" spans="1:15" ht="15.75" x14ac:dyDescent="0.25">
      <c r="A13" s="146"/>
      <c r="B13" s="17"/>
      <c r="C13" s="18"/>
      <c r="D13" s="19"/>
      <c r="E13" s="87"/>
      <c r="F13" s="17" t="s">
        <v>13</v>
      </c>
      <c r="G13" s="21"/>
      <c r="H13" s="21"/>
      <c r="I13" s="16"/>
      <c r="J13" s="41"/>
      <c r="K13" s="16"/>
      <c r="L13" s="16"/>
      <c r="M13" s="16"/>
      <c r="N13" s="16"/>
      <c r="O13" s="16"/>
    </row>
    <row r="14" spans="1:15" ht="15.75" x14ac:dyDescent="0.25">
      <c r="A14" s="146"/>
      <c r="B14" s="23" t="s">
        <v>14</v>
      </c>
      <c r="C14" s="32">
        <f>SUM(C15:C22)</f>
        <v>154600</v>
      </c>
      <c r="D14" s="33">
        <f>SUM(D15:D21)</f>
        <v>105699</v>
      </c>
      <c r="E14" s="88">
        <f>+(D14/C14)</f>
        <v>0.68369340232858988</v>
      </c>
      <c r="F14" s="38" t="s">
        <v>17</v>
      </c>
      <c r="G14" s="35"/>
      <c r="H14" s="35">
        <f>69626-H19-H20-H21</f>
        <v>8626</v>
      </c>
      <c r="I14" s="14"/>
      <c r="J14" s="62"/>
      <c r="K14" s="16"/>
      <c r="L14" s="16"/>
      <c r="M14" s="16"/>
      <c r="N14" s="16"/>
      <c r="O14" s="16"/>
    </row>
    <row r="15" spans="1:15" ht="15.75" x14ac:dyDescent="0.25">
      <c r="A15" s="146"/>
      <c r="B15" s="17" t="s">
        <v>15</v>
      </c>
      <c r="C15" s="18">
        <v>40500</v>
      </c>
      <c r="D15" s="83">
        <f>5159+1614</f>
        <v>6773</v>
      </c>
      <c r="E15" s="87"/>
      <c r="F15" s="17" t="s">
        <v>21</v>
      </c>
      <c r="G15" s="21"/>
      <c r="H15" s="21">
        <v>17948</v>
      </c>
      <c r="I15" s="16"/>
      <c r="J15" s="41"/>
      <c r="K15" s="16"/>
      <c r="L15" s="16"/>
      <c r="M15" s="16"/>
      <c r="N15" s="16"/>
      <c r="O15" s="16"/>
    </row>
    <row r="16" spans="1:15" ht="15.75" x14ac:dyDescent="0.25">
      <c r="A16" s="146"/>
      <c r="B16" s="17" t="s">
        <v>16</v>
      </c>
      <c r="C16" s="37">
        <v>12000</v>
      </c>
      <c r="D16" s="83">
        <v>4572</v>
      </c>
      <c r="E16" s="87"/>
      <c r="F16" s="17" t="s">
        <v>19</v>
      </c>
      <c r="G16" s="39"/>
      <c r="H16" s="39">
        <v>137050</v>
      </c>
      <c r="I16" s="16"/>
      <c r="J16" s="41"/>
      <c r="K16" s="16"/>
      <c r="L16" s="16"/>
      <c r="M16" s="16"/>
      <c r="N16" s="16"/>
      <c r="O16" s="16"/>
    </row>
    <row r="17" spans="1:15" ht="15.75" x14ac:dyDescent="0.25">
      <c r="A17" s="146"/>
      <c r="B17" s="17" t="s">
        <v>18</v>
      </c>
      <c r="C17" s="18">
        <v>23000</v>
      </c>
      <c r="D17" s="117">
        <f>3755+1997</f>
        <v>5752</v>
      </c>
      <c r="E17" s="87"/>
      <c r="F17" s="17" t="s">
        <v>39</v>
      </c>
      <c r="G17" s="21"/>
      <c r="H17" s="21"/>
      <c r="I17" s="16"/>
      <c r="J17" s="41"/>
      <c r="K17" s="16"/>
      <c r="L17" s="16"/>
      <c r="M17" s="16"/>
      <c r="N17" s="16"/>
      <c r="O17" s="16"/>
    </row>
    <row r="18" spans="1:15" ht="15.75" x14ac:dyDescent="0.25">
      <c r="A18" s="146"/>
      <c r="B18" s="17" t="s">
        <v>20</v>
      </c>
      <c r="C18" s="18"/>
      <c r="D18" s="19"/>
      <c r="E18" s="87"/>
      <c r="F18" s="17" t="s">
        <v>45</v>
      </c>
      <c r="G18" s="21"/>
      <c r="H18" s="21"/>
      <c r="I18" s="41"/>
      <c r="J18" s="41"/>
      <c r="K18" s="41"/>
      <c r="L18" s="41"/>
      <c r="M18" s="41"/>
      <c r="N18" s="41"/>
      <c r="O18" s="16"/>
    </row>
    <row r="19" spans="1:15" ht="15.75" x14ac:dyDescent="0.25">
      <c r="A19" s="146"/>
      <c r="B19" s="17" t="s">
        <v>22</v>
      </c>
      <c r="C19" s="18">
        <v>42600</v>
      </c>
      <c r="D19" s="83">
        <v>39593</v>
      </c>
      <c r="E19" s="87"/>
      <c r="F19" s="17" t="s">
        <v>46</v>
      </c>
      <c r="G19" s="21"/>
      <c r="H19" s="21">
        <v>10000</v>
      </c>
      <c r="I19" s="41"/>
      <c r="J19" s="41"/>
      <c r="K19" s="41"/>
      <c r="L19" s="41"/>
      <c r="M19" s="41"/>
      <c r="N19" s="41"/>
      <c r="O19" s="16"/>
    </row>
    <row r="20" spans="1:15" ht="15.75" x14ac:dyDescent="0.25">
      <c r="A20" s="146"/>
      <c r="B20" s="17" t="s">
        <v>23</v>
      </c>
      <c r="C20" s="18">
        <v>24000</v>
      </c>
      <c r="D20" s="19">
        <v>5408</v>
      </c>
      <c r="E20" s="87"/>
      <c r="F20" s="17" t="s">
        <v>47</v>
      </c>
      <c r="G20" s="21"/>
      <c r="H20" s="21">
        <v>6000</v>
      </c>
      <c r="I20" s="41"/>
      <c r="J20" s="41"/>
      <c r="K20" s="41"/>
      <c r="L20" s="41"/>
      <c r="M20" s="41"/>
      <c r="N20" s="41"/>
      <c r="O20" s="16"/>
    </row>
    <row r="21" spans="1:15" ht="15.75" x14ac:dyDescent="0.25">
      <c r="A21" s="146"/>
      <c r="B21" s="17" t="s">
        <v>24</v>
      </c>
      <c r="C21" s="18">
        <v>12500</v>
      </c>
      <c r="D21" s="83">
        <f>11214+32387</f>
        <v>43601</v>
      </c>
      <c r="E21" s="87"/>
      <c r="F21" s="17" t="s">
        <v>55</v>
      </c>
      <c r="G21" s="21"/>
      <c r="H21" s="21">
        <f>35000+10000</f>
        <v>45000</v>
      </c>
      <c r="I21" s="41"/>
      <c r="J21" s="41"/>
      <c r="K21" s="41"/>
      <c r="L21" s="41"/>
      <c r="M21" s="41"/>
      <c r="N21" s="41"/>
      <c r="O21" s="16"/>
    </row>
    <row r="22" spans="1:15" ht="15.75" x14ac:dyDescent="0.25">
      <c r="A22" s="146"/>
      <c r="B22" s="34"/>
      <c r="C22" s="42"/>
      <c r="D22" s="82"/>
      <c r="E22" s="87"/>
      <c r="F22" s="35"/>
      <c r="G22" s="35"/>
      <c r="H22" s="35"/>
      <c r="I22" s="41"/>
      <c r="J22" s="112"/>
      <c r="K22" s="41"/>
      <c r="L22" s="41"/>
      <c r="M22" s="41"/>
      <c r="N22" s="41"/>
      <c r="O22" s="16"/>
    </row>
    <row r="23" spans="1:15" ht="15.75" x14ac:dyDescent="0.25">
      <c r="A23" s="146"/>
      <c r="B23" s="44" t="s">
        <v>25</v>
      </c>
      <c r="C23" s="45">
        <f>SUM(C24:C29)</f>
        <v>236750</v>
      </c>
      <c r="D23" s="46">
        <f>SUM(D24:D30)</f>
        <v>121980</v>
      </c>
      <c r="E23" s="89">
        <f t="shared" ref="E23" si="1">+(D23/C23)</f>
        <v>0.51522703273495252</v>
      </c>
      <c r="F23" s="35"/>
      <c r="G23" s="35"/>
      <c r="H23" s="35"/>
      <c r="I23" s="41"/>
      <c r="J23" s="41"/>
      <c r="K23" s="41"/>
      <c r="L23" s="41"/>
      <c r="M23" s="41"/>
      <c r="N23" s="41"/>
      <c r="O23" s="16"/>
    </row>
    <row r="24" spans="1:15" ht="15.75" x14ac:dyDescent="0.25">
      <c r="A24" s="146"/>
      <c r="B24" s="34" t="s">
        <v>26</v>
      </c>
      <c r="C24" s="42">
        <v>15000</v>
      </c>
      <c r="D24" s="43"/>
      <c r="E24" s="87"/>
      <c r="F24" s="35"/>
      <c r="G24" s="35"/>
      <c r="H24" s="35"/>
      <c r="I24" s="41"/>
      <c r="J24" s="41"/>
      <c r="K24" s="41"/>
      <c r="L24" s="41"/>
      <c r="M24" s="41"/>
      <c r="N24" s="41"/>
      <c r="O24" s="16"/>
    </row>
    <row r="25" spans="1:15" ht="15.75" x14ac:dyDescent="0.25">
      <c r="A25" s="146"/>
      <c r="B25" s="34" t="s">
        <v>27</v>
      </c>
      <c r="C25" s="42">
        <v>30750</v>
      </c>
      <c r="D25" s="43"/>
      <c r="E25" s="87"/>
      <c r="F25" s="34"/>
      <c r="G25" s="35"/>
      <c r="H25" s="35"/>
      <c r="I25" s="41"/>
      <c r="J25" s="41"/>
      <c r="K25" s="41"/>
      <c r="L25" s="41"/>
      <c r="M25" s="41"/>
      <c r="N25" s="41"/>
      <c r="O25" s="16"/>
    </row>
    <row r="26" spans="1:15" ht="15.75" x14ac:dyDescent="0.25">
      <c r="A26" s="146"/>
      <c r="B26" s="34" t="s">
        <v>28</v>
      </c>
      <c r="C26" s="42">
        <v>18000</v>
      </c>
      <c r="D26" s="43">
        <v>294</v>
      </c>
      <c r="E26" s="87"/>
      <c r="F26" s="35"/>
      <c r="G26" s="35"/>
      <c r="H26" s="35"/>
      <c r="I26" s="41"/>
      <c r="J26" s="41"/>
      <c r="K26" s="41"/>
      <c r="L26" s="41"/>
      <c r="M26" s="41"/>
      <c r="N26" s="41"/>
      <c r="O26" s="16"/>
    </row>
    <row r="27" spans="1:15" ht="15.75" x14ac:dyDescent="0.25">
      <c r="A27" s="146"/>
      <c r="B27" s="34" t="s">
        <v>29</v>
      </c>
      <c r="C27" s="42">
        <v>5500</v>
      </c>
      <c r="D27" s="43"/>
      <c r="E27" s="87"/>
      <c r="F27" s="34"/>
      <c r="G27" s="35"/>
      <c r="H27" s="35"/>
      <c r="I27" s="41"/>
      <c r="J27" s="41"/>
      <c r="K27" s="41"/>
      <c r="L27" s="41"/>
      <c r="M27" s="41"/>
      <c r="N27" s="41"/>
      <c r="O27" s="16"/>
    </row>
    <row r="28" spans="1:15" ht="15.75" x14ac:dyDescent="0.25">
      <c r="A28" s="146"/>
      <c r="B28" s="34" t="s">
        <v>30</v>
      </c>
      <c r="C28" s="42">
        <v>22000</v>
      </c>
      <c r="D28" s="82">
        <v>18713</v>
      </c>
      <c r="E28" s="87"/>
      <c r="F28" s="34"/>
      <c r="G28" s="35"/>
      <c r="H28" s="35"/>
      <c r="I28" s="41"/>
      <c r="J28" s="62"/>
      <c r="K28" s="41"/>
      <c r="L28" s="41"/>
      <c r="M28" s="41"/>
      <c r="N28" s="41"/>
      <c r="O28" s="16"/>
    </row>
    <row r="29" spans="1:15" ht="15.75" x14ac:dyDescent="0.25">
      <c r="A29" s="146"/>
      <c r="B29" s="34" t="s">
        <v>31</v>
      </c>
      <c r="C29" s="42">
        <v>145500</v>
      </c>
      <c r="D29" s="82">
        <v>102973</v>
      </c>
      <c r="E29" s="87"/>
      <c r="F29" s="34"/>
      <c r="G29" s="35"/>
      <c r="H29" s="35"/>
      <c r="I29" s="41"/>
      <c r="J29" s="41"/>
      <c r="K29" s="41"/>
      <c r="L29" s="41"/>
      <c r="M29" s="41"/>
      <c r="N29" s="41"/>
      <c r="O29" s="16"/>
    </row>
    <row r="30" spans="1:15" ht="16.5" thickBot="1" x14ac:dyDescent="0.3">
      <c r="A30" s="146"/>
      <c r="B30" s="34"/>
      <c r="C30" s="42"/>
      <c r="D30" s="82"/>
      <c r="E30" s="90"/>
      <c r="F30" s="34"/>
      <c r="G30" s="35"/>
      <c r="H30" s="35"/>
      <c r="I30" s="41"/>
      <c r="J30" s="41"/>
      <c r="K30" s="41"/>
      <c r="L30" s="41"/>
      <c r="M30" s="41"/>
      <c r="N30" s="41"/>
      <c r="O30" s="16"/>
    </row>
    <row r="31" spans="1:15" s="2" customFormat="1" ht="20.25" customHeight="1" thickBot="1" x14ac:dyDescent="0.3">
      <c r="A31" s="6"/>
      <c r="B31" s="47" t="s">
        <v>32</v>
      </c>
      <c r="C31" s="48">
        <f>C23+C14+C10+C8</f>
        <v>1515719.02</v>
      </c>
      <c r="D31" s="49">
        <f>D23+D14+D10+D8</f>
        <v>773179</v>
      </c>
      <c r="E31" s="91">
        <f>+(D31/C31)</f>
        <v>0.51010707776168174</v>
      </c>
      <c r="F31" s="47" t="s">
        <v>32</v>
      </c>
      <c r="G31" s="50">
        <f>G12+G8</f>
        <v>1515719.02</v>
      </c>
      <c r="H31" s="50">
        <f>H12+H8</f>
        <v>997803</v>
      </c>
      <c r="I31" s="51"/>
      <c r="J31" s="108"/>
      <c r="K31" s="52"/>
      <c r="L31" s="52"/>
      <c r="M31" s="52"/>
      <c r="N31" s="52"/>
      <c r="O31" s="53"/>
    </row>
    <row r="32" spans="1:15" s="2" customFormat="1" ht="20.25" customHeight="1" thickBot="1" x14ac:dyDescent="0.3">
      <c r="A32" s="145" t="s">
        <v>33</v>
      </c>
      <c r="B32" s="54" t="s">
        <v>34</v>
      </c>
      <c r="C32" s="75">
        <f>SUM(C33:C45)</f>
        <v>0</v>
      </c>
      <c r="D32" s="57">
        <f>SUM(D33:E45)</f>
        <v>348530</v>
      </c>
      <c r="E32" s="92"/>
      <c r="F32" s="55" t="s">
        <v>35</v>
      </c>
      <c r="G32" s="56">
        <f>SUM(G33:G43)</f>
        <v>0</v>
      </c>
      <c r="H32" s="57">
        <f>SUM(H33:H43)</f>
        <v>367430.93</v>
      </c>
      <c r="I32" s="52"/>
      <c r="J32" s="52"/>
      <c r="K32" s="52"/>
      <c r="L32" s="52"/>
      <c r="M32" s="52"/>
      <c r="N32" s="52"/>
      <c r="O32" s="53"/>
    </row>
    <row r="33" spans="1:15" ht="15.75" x14ac:dyDescent="0.25">
      <c r="A33" s="146"/>
      <c r="B33" s="58" t="s">
        <v>36</v>
      </c>
      <c r="C33" s="148" t="s">
        <v>54</v>
      </c>
      <c r="D33" s="19">
        <v>40891</v>
      </c>
      <c r="E33" s="93"/>
      <c r="F33" s="98" t="s">
        <v>36</v>
      </c>
      <c r="G33" s="148" t="s">
        <v>54</v>
      </c>
      <c r="H33" s="21">
        <f t="shared" ref="H33:H38" si="2">D33</f>
        <v>40891</v>
      </c>
      <c r="I33" s="41"/>
      <c r="J33" s="41"/>
      <c r="K33" s="41"/>
      <c r="L33" s="41"/>
      <c r="M33" s="41"/>
      <c r="N33" s="41"/>
      <c r="O33" s="16"/>
    </row>
    <row r="34" spans="1:15" ht="15.75" x14ac:dyDescent="0.25">
      <c r="A34" s="146"/>
      <c r="B34" s="59" t="s">
        <v>37</v>
      </c>
      <c r="C34" s="149"/>
      <c r="D34" s="21">
        <v>75356</v>
      </c>
      <c r="E34" s="94"/>
      <c r="F34" s="36" t="str">
        <f>+B34</f>
        <v>I2I</v>
      </c>
      <c r="G34" s="149"/>
      <c r="H34" s="21">
        <f t="shared" si="2"/>
        <v>75356</v>
      </c>
      <c r="I34" s="41"/>
      <c r="J34" s="41"/>
      <c r="K34" s="41"/>
      <c r="L34" s="41"/>
      <c r="M34" s="41"/>
      <c r="N34" s="41"/>
      <c r="O34" s="16"/>
    </row>
    <row r="35" spans="1:15" ht="15.75" x14ac:dyDescent="0.25">
      <c r="A35" s="146"/>
      <c r="B35" s="17" t="s">
        <v>49</v>
      </c>
      <c r="C35" s="149"/>
      <c r="D35" s="21">
        <v>56030</v>
      </c>
      <c r="E35" s="94"/>
      <c r="F35" s="36" t="str">
        <f>B35</f>
        <v>Waicoop</v>
      </c>
      <c r="G35" s="149"/>
      <c r="H35" s="21">
        <f t="shared" si="2"/>
        <v>56030</v>
      </c>
      <c r="I35" s="41"/>
      <c r="J35" s="41"/>
      <c r="K35" s="41"/>
      <c r="L35" s="41"/>
      <c r="M35" s="41"/>
      <c r="N35" s="41"/>
      <c r="O35" s="16"/>
    </row>
    <row r="36" spans="1:15" ht="15.75" x14ac:dyDescent="0.25">
      <c r="A36" s="146"/>
      <c r="B36" s="36" t="s">
        <v>38</v>
      </c>
      <c r="C36" s="149"/>
      <c r="D36" s="21">
        <v>0</v>
      </c>
      <c r="E36" s="94"/>
      <c r="F36" s="36" t="s">
        <v>38</v>
      </c>
      <c r="G36" s="149"/>
      <c r="H36" s="21">
        <f t="shared" si="2"/>
        <v>0</v>
      </c>
      <c r="I36" s="41"/>
      <c r="J36" s="41"/>
      <c r="K36" s="41"/>
      <c r="L36" s="41"/>
      <c r="M36" s="41"/>
      <c r="N36" s="41"/>
      <c r="O36" s="16"/>
    </row>
    <row r="37" spans="1:15" ht="15.75" x14ac:dyDescent="0.25">
      <c r="A37" s="146"/>
      <c r="B37" s="17" t="s">
        <v>41</v>
      </c>
      <c r="C37" s="149"/>
      <c r="D37" s="21">
        <v>0</v>
      </c>
      <c r="E37" s="61"/>
      <c r="F37" s="17" t="s">
        <v>41</v>
      </c>
      <c r="G37" s="149"/>
      <c r="H37" s="21">
        <f t="shared" si="2"/>
        <v>0</v>
      </c>
      <c r="I37" s="41"/>
      <c r="J37" s="41"/>
      <c r="K37" s="41"/>
      <c r="L37" s="41"/>
      <c r="M37" s="41"/>
      <c r="N37" s="41"/>
      <c r="O37" s="16"/>
    </row>
    <row r="38" spans="1:15" ht="15.75" x14ac:dyDescent="0.25">
      <c r="A38" s="146"/>
      <c r="B38" s="17" t="s">
        <v>42</v>
      </c>
      <c r="C38" s="149"/>
      <c r="D38" s="21">
        <v>73283</v>
      </c>
      <c r="E38" s="61"/>
      <c r="F38" s="17" t="s">
        <v>42</v>
      </c>
      <c r="G38" s="149"/>
      <c r="H38" s="21">
        <f t="shared" si="2"/>
        <v>73283</v>
      </c>
      <c r="I38" s="41"/>
      <c r="J38" s="41"/>
      <c r="K38" s="41"/>
      <c r="L38" s="41"/>
      <c r="M38" s="41"/>
      <c r="N38" s="41"/>
      <c r="O38" s="16"/>
    </row>
    <row r="39" spans="1:15" ht="15.75" x14ac:dyDescent="0.25">
      <c r="A39" s="146"/>
      <c r="B39" s="17" t="s">
        <v>39</v>
      </c>
      <c r="C39" s="149"/>
      <c r="D39" s="21">
        <v>39517</v>
      </c>
      <c r="E39" s="61"/>
      <c r="F39" s="36" t="str">
        <f>B39</f>
        <v>Wellspring</v>
      </c>
      <c r="G39" s="149"/>
      <c r="H39" s="21">
        <f>D39</f>
        <v>39517</v>
      </c>
      <c r="I39" s="41"/>
      <c r="J39" s="41"/>
      <c r="K39" s="41"/>
      <c r="L39" s="41"/>
      <c r="M39" s="41"/>
      <c r="N39" s="41"/>
      <c r="O39" s="16"/>
    </row>
    <row r="40" spans="1:15" ht="15.75" x14ac:dyDescent="0.25">
      <c r="A40" s="146"/>
      <c r="B40" s="17" t="s">
        <v>56</v>
      </c>
      <c r="C40" s="149"/>
      <c r="D40" s="21">
        <v>59080</v>
      </c>
      <c r="E40" s="61"/>
      <c r="F40" s="36" t="str">
        <f>B40</f>
        <v>UNSDR</v>
      </c>
      <c r="G40" s="149"/>
      <c r="H40" s="21">
        <f>D40</f>
        <v>59080</v>
      </c>
      <c r="I40" s="41"/>
      <c r="J40" s="41"/>
      <c r="K40" s="41"/>
      <c r="L40" s="41"/>
      <c r="M40" s="41"/>
      <c r="N40" s="41"/>
      <c r="O40" s="16"/>
    </row>
    <row r="41" spans="1:15" ht="15.75" x14ac:dyDescent="0.25">
      <c r="A41" s="146"/>
      <c r="B41" s="17" t="s">
        <v>65</v>
      </c>
      <c r="C41" s="149"/>
      <c r="D41" s="21">
        <v>3693</v>
      </c>
      <c r="E41" s="61"/>
      <c r="F41" s="99" t="s">
        <v>65</v>
      </c>
      <c r="G41" s="149"/>
      <c r="H41" s="21">
        <f>D41</f>
        <v>3693</v>
      </c>
      <c r="I41" s="41"/>
      <c r="J41" s="41"/>
      <c r="K41" s="41"/>
      <c r="L41" s="41"/>
      <c r="M41" s="41"/>
      <c r="N41" s="41"/>
      <c r="O41" s="16"/>
    </row>
    <row r="42" spans="1:15" ht="15.75" x14ac:dyDescent="0.25">
      <c r="A42" s="146"/>
      <c r="B42" s="17" t="s">
        <v>51</v>
      </c>
      <c r="C42" s="149"/>
      <c r="D42" s="21">
        <v>680</v>
      </c>
      <c r="E42" s="61"/>
      <c r="F42" s="36" t="s">
        <v>19</v>
      </c>
      <c r="G42" s="149"/>
      <c r="H42" s="21">
        <v>0</v>
      </c>
      <c r="I42" s="41"/>
      <c r="J42" s="41"/>
      <c r="K42" s="41"/>
      <c r="L42" s="41"/>
      <c r="M42" s="41"/>
      <c r="N42" s="41"/>
      <c r="O42" s="16"/>
    </row>
    <row r="43" spans="1:15" ht="15.75" x14ac:dyDescent="0.25">
      <c r="A43" s="146"/>
      <c r="B43" s="17"/>
      <c r="C43" s="150"/>
      <c r="D43" s="35"/>
      <c r="E43" s="61"/>
      <c r="F43" s="100" t="s">
        <v>57</v>
      </c>
      <c r="G43" s="149"/>
      <c r="H43" s="35">
        <f>8521+5323.18+4156.53+1580.22</f>
        <v>19580.93</v>
      </c>
      <c r="I43" s="41"/>
      <c r="J43" s="41"/>
      <c r="K43" s="41"/>
      <c r="L43" s="41"/>
      <c r="M43" s="41"/>
      <c r="N43" s="41"/>
      <c r="O43" s="16"/>
    </row>
    <row r="44" spans="1:15" ht="15.75" x14ac:dyDescent="0.25">
      <c r="A44" s="146"/>
      <c r="B44" s="17"/>
      <c r="C44" s="60"/>
      <c r="D44" s="21"/>
      <c r="E44" s="94"/>
      <c r="F44" s="36"/>
      <c r="G44" s="150"/>
      <c r="H44" s="21"/>
      <c r="I44" s="41"/>
      <c r="J44" s="62"/>
      <c r="K44" s="41"/>
      <c r="L44" s="41"/>
      <c r="M44" s="41"/>
      <c r="N44" s="41"/>
      <c r="O44" s="16"/>
    </row>
    <row r="45" spans="1:15" ht="18" customHeight="1" thickBot="1" x14ac:dyDescent="0.3">
      <c r="A45" s="146"/>
      <c r="B45" s="63" t="s">
        <v>44</v>
      </c>
      <c r="C45" s="64"/>
      <c r="D45" s="77"/>
      <c r="E45" s="95"/>
      <c r="F45" s="101"/>
      <c r="G45" s="65"/>
      <c r="H45" s="65"/>
      <c r="I45" s="41"/>
      <c r="J45" s="62"/>
      <c r="K45" s="41"/>
      <c r="L45" s="41"/>
      <c r="M45" s="41"/>
      <c r="N45" s="41"/>
      <c r="O45" s="16"/>
    </row>
    <row r="46" spans="1:15" ht="24" customHeight="1" thickBot="1" x14ac:dyDescent="0.3">
      <c r="A46" s="147"/>
      <c r="B46" s="66" t="s">
        <v>32</v>
      </c>
      <c r="C46" s="76">
        <f>SUM(C33:C45)</f>
        <v>0</v>
      </c>
      <c r="D46" s="67">
        <f>SUM(D33:D45)</f>
        <v>348530</v>
      </c>
      <c r="E46" s="96"/>
      <c r="F46" s="102" t="s">
        <v>32</v>
      </c>
      <c r="G46" s="67">
        <f>SUM(G33:G45)</f>
        <v>0</v>
      </c>
      <c r="H46" s="109">
        <f>SUM(H33:H44)</f>
        <v>367430.93</v>
      </c>
      <c r="I46" s="41"/>
      <c r="J46" s="41"/>
      <c r="K46" s="41"/>
      <c r="L46" s="41"/>
      <c r="M46" s="41"/>
      <c r="N46" s="41"/>
      <c r="O46" s="16"/>
    </row>
    <row r="47" spans="1:15" ht="24" customHeight="1" thickBot="1" x14ac:dyDescent="0.3">
      <c r="B47" s="68" t="s">
        <v>40</v>
      </c>
      <c r="C47" s="69">
        <f>C46+C31</f>
        <v>1515719.02</v>
      </c>
      <c r="D47" s="69">
        <f>D46+D31</f>
        <v>1121709</v>
      </c>
      <c r="E47" s="70"/>
      <c r="F47" s="71" t="s">
        <v>40</v>
      </c>
      <c r="G47" s="69">
        <f>G31+G46</f>
        <v>1515719.02</v>
      </c>
      <c r="H47" s="72">
        <f>H31+H46</f>
        <v>1365233.93</v>
      </c>
      <c r="I47" s="41"/>
      <c r="J47" s="41"/>
      <c r="K47" s="41"/>
      <c r="L47" s="41"/>
      <c r="M47" s="41"/>
      <c r="N47" s="41"/>
      <c r="O47" s="16"/>
    </row>
    <row r="48" spans="1:15" ht="15.75" x14ac:dyDescent="0.25">
      <c r="D48" s="84">
        <f>D47-H47</f>
        <v>-243524.92999999993</v>
      </c>
      <c r="I48" s="41"/>
      <c r="J48" s="41"/>
      <c r="K48" s="41"/>
      <c r="L48" s="41"/>
      <c r="M48" s="41"/>
      <c r="N48" s="41"/>
      <c r="O48" s="16"/>
    </row>
    <row r="49" spans="1:15" ht="15.75" x14ac:dyDescent="0.25">
      <c r="A49" s="118" t="s">
        <v>43</v>
      </c>
      <c r="B49" s="106" t="s">
        <v>52</v>
      </c>
      <c r="C49" s="107">
        <f>2209+500</f>
        <v>2709</v>
      </c>
      <c r="E49" s="113" t="s">
        <v>58</v>
      </c>
      <c r="F49" t="s">
        <v>62</v>
      </c>
      <c r="I49" s="41"/>
      <c r="J49" s="41"/>
      <c r="K49" s="41"/>
      <c r="L49" s="41"/>
      <c r="M49" s="41"/>
      <c r="N49" s="41"/>
      <c r="O49" s="16"/>
    </row>
    <row r="50" spans="1:15" ht="15.75" x14ac:dyDescent="0.25">
      <c r="B50" s="106" t="s">
        <v>53</v>
      </c>
      <c r="C50" s="107">
        <f>680-2709-65.55+5342</f>
        <v>3247.45</v>
      </c>
      <c r="E50" s="80"/>
      <c r="F50" t="s">
        <v>59</v>
      </c>
      <c r="G50" s="1">
        <v>5323.18</v>
      </c>
      <c r="I50" s="16"/>
      <c r="J50" s="16"/>
      <c r="K50" s="16"/>
      <c r="L50" s="16"/>
      <c r="M50" s="16"/>
      <c r="N50" s="16"/>
      <c r="O50" s="16"/>
    </row>
    <row r="51" spans="1:15" ht="15.75" x14ac:dyDescent="0.25">
      <c r="B51" s="105" t="s">
        <v>50</v>
      </c>
      <c r="C51" s="107">
        <f>39.95+25.6</f>
        <v>65.550000000000011</v>
      </c>
      <c r="E51" s="80"/>
      <c r="F51" t="s">
        <v>60</v>
      </c>
      <c r="G51" s="1">
        <v>4156.53</v>
      </c>
      <c r="I51" s="16"/>
      <c r="J51" s="16"/>
      <c r="K51" s="16"/>
      <c r="L51" s="16"/>
      <c r="M51" s="16"/>
      <c r="N51" s="16"/>
      <c r="O51" s="16"/>
    </row>
    <row r="52" spans="1:15" ht="15.75" x14ac:dyDescent="0.25">
      <c r="B52" s="79" t="s">
        <v>66</v>
      </c>
      <c r="C52" s="103">
        <f>-278-5064</f>
        <v>-5342</v>
      </c>
      <c r="E52" s="80"/>
      <c r="F52" t="s">
        <v>61</v>
      </c>
      <c r="G52" s="1">
        <v>1580.22</v>
      </c>
      <c r="I52" s="16"/>
      <c r="J52" s="16"/>
      <c r="K52" s="16"/>
      <c r="L52" s="16"/>
      <c r="M52" s="16"/>
      <c r="N52" s="16"/>
      <c r="O52" s="16"/>
    </row>
    <row r="53" spans="1:15" ht="15.75" x14ac:dyDescent="0.25">
      <c r="B53" s="73"/>
      <c r="C53" s="104"/>
      <c r="E53" s="81"/>
      <c r="I53" s="16"/>
      <c r="J53" s="16"/>
      <c r="K53" s="16"/>
      <c r="L53" s="16"/>
      <c r="M53" s="16"/>
      <c r="N53" s="16"/>
      <c r="O53" s="16"/>
    </row>
    <row r="54" spans="1:15" ht="15.75" x14ac:dyDescent="0.25">
      <c r="B54" s="73"/>
      <c r="C54" s="74"/>
      <c r="I54" s="16"/>
      <c r="J54" s="16"/>
      <c r="K54" s="16"/>
      <c r="L54" s="16"/>
      <c r="M54" s="16"/>
      <c r="N54" s="16"/>
      <c r="O54" s="16"/>
    </row>
    <row r="55" spans="1:15" ht="15.75" x14ac:dyDescent="0.25">
      <c r="B55" s="73"/>
      <c r="C55" s="74"/>
      <c r="I55" s="16"/>
      <c r="J55" s="16"/>
      <c r="K55" s="16"/>
      <c r="L55" s="16"/>
      <c r="M55" s="16"/>
      <c r="N55" s="16"/>
      <c r="O55" s="16"/>
    </row>
    <row r="56" spans="1:15" ht="15.75" x14ac:dyDescent="0.25">
      <c r="B56" s="73"/>
      <c r="C56" s="74"/>
      <c r="I56" s="16"/>
      <c r="J56" s="16"/>
      <c r="K56" s="16"/>
      <c r="L56" s="16"/>
      <c r="M56" s="16"/>
      <c r="N56" s="16"/>
      <c r="O56" s="16"/>
    </row>
    <row r="57" spans="1:15" ht="15.75" x14ac:dyDescent="0.25">
      <c r="B57" s="73"/>
      <c r="C57" s="74"/>
    </row>
    <row r="58" spans="1:15" ht="15.75" x14ac:dyDescent="0.25">
      <c r="B58" s="73"/>
      <c r="C58" s="74"/>
    </row>
    <row r="59" spans="1:15" ht="15.75" x14ac:dyDescent="0.25">
      <c r="B59" s="73"/>
      <c r="C59" s="74"/>
    </row>
    <row r="60" spans="1:15" ht="15.75" x14ac:dyDescent="0.25">
      <c r="B60" s="73"/>
      <c r="C60" s="74"/>
    </row>
  </sheetData>
  <mergeCells count="5">
    <mergeCell ref="B2:H2"/>
    <mergeCell ref="A8:A30"/>
    <mergeCell ref="A32:A46"/>
    <mergeCell ref="C33:C43"/>
    <mergeCell ref="G33:G4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1176E-FC66-4F49-B0BD-A04A09E67976}">
  <dimension ref="A2:O64"/>
  <sheetViews>
    <sheetView tabSelected="1" workbookViewId="0">
      <selection activeCell="G5" sqref="G5"/>
    </sheetView>
  </sheetViews>
  <sheetFormatPr defaultColWidth="12.5703125" defaultRowHeight="15" x14ac:dyDescent="0.25"/>
  <cols>
    <col min="1" max="1" width="6.42578125" customWidth="1"/>
    <col min="2" max="2" width="48.5703125" customWidth="1"/>
    <col min="3" max="3" width="15.42578125" style="1" customWidth="1"/>
    <col min="4" max="4" width="15.140625" style="1" customWidth="1"/>
    <col min="5" max="5" width="15.140625" customWidth="1"/>
    <col min="6" max="6" width="49.140625" customWidth="1"/>
    <col min="7" max="8" width="15.42578125" style="1" customWidth="1"/>
    <col min="9" max="9" width="12.5703125" style="1"/>
    <col min="10" max="10" width="15" bestFit="1" customWidth="1"/>
    <col min="13" max="13" width="19.5703125" bestFit="1" customWidth="1"/>
    <col min="14" max="14" width="15" bestFit="1" customWidth="1"/>
  </cols>
  <sheetData>
    <row r="2" spans="1:15" ht="18.75" x14ac:dyDescent="0.3">
      <c r="B2" s="144" t="s">
        <v>80</v>
      </c>
      <c r="C2" s="144"/>
      <c r="D2" s="144"/>
      <c r="E2" s="144"/>
      <c r="F2" s="144"/>
      <c r="G2" s="144"/>
      <c r="H2" s="144"/>
    </row>
    <row r="3" spans="1:15" x14ac:dyDescent="0.25">
      <c r="H3" s="151" t="s">
        <v>94</v>
      </c>
    </row>
    <row r="6" spans="1:15" ht="7.5" customHeight="1" thickBot="1" x14ac:dyDescent="0.3"/>
    <row r="7" spans="1:15" s="2" customFormat="1" ht="21" customHeight="1" thickBot="1" x14ac:dyDescent="0.3">
      <c r="B7" s="3" t="s">
        <v>0</v>
      </c>
      <c r="C7" s="4" t="s">
        <v>1</v>
      </c>
      <c r="D7" s="5" t="s">
        <v>2</v>
      </c>
      <c r="E7" s="6" t="s">
        <v>3</v>
      </c>
      <c r="F7" s="3" t="s">
        <v>4</v>
      </c>
      <c r="G7" s="121" t="s">
        <v>1</v>
      </c>
      <c r="H7" s="7" t="s">
        <v>2</v>
      </c>
      <c r="I7" s="131"/>
    </row>
    <row r="8" spans="1:15" ht="15.75" x14ac:dyDescent="0.25">
      <c r="A8" s="145" t="s">
        <v>5</v>
      </c>
      <c r="B8" s="8" t="s">
        <v>6</v>
      </c>
      <c r="C8" s="9">
        <v>871444.96</v>
      </c>
      <c r="D8" s="130">
        <v>678798.68</v>
      </c>
      <c r="E8" s="85">
        <f>+(D8/C8)</f>
        <v>0.77893465583873489</v>
      </c>
      <c r="F8" s="11" t="s">
        <v>7</v>
      </c>
      <c r="G8" s="122">
        <f>C29*0.9</f>
        <v>1443910.4639999999</v>
      </c>
      <c r="H8" s="13">
        <f>D29*0.9</f>
        <v>1066182.8580000002</v>
      </c>
      <c r="I8" s="132">
        <f>C29*0.9</f>
        <v>1443910.4639999999</v>
      </c>
      <c r="J8" s="62"/>
      <c r="K8" s="16"/>
      <c r="L8" s="16"/>
      <c r="M8" s="16"/>
      <c r="N8" s="16"/>
      <c r="O8" s="16"/>
    </row>
    <row r="9" spans="1:15" ht="15.75" x14ac:dyDescent="0.25">
      <c r="A9" s="146"/>
      <c r="B9" s="17"/>
      <c r="C9" s="18"/>
      <c r="D9" s="19"/>
      <c r="E9" s="86"/>
      <c r="F9" s="20" t="s">
        <v>70</v>
      </c>
      <c r="G9" s="60"/>
      <c r="H9" s="21"/>
      <c r="I9" s="15">
        <f>H8*0.2</f>
        <v>213236.57160000005</v>
      </c>
      <c r="J9" s="22"/>
      <c r="K9" s="16"/>
      <c r="L9" s="16"/>
      <c r="M9" s="16"/>
      <c r="N9" s="16"/>
      <c r="O9" s="16"/>
    </row>
    <row r="10" spans="1:15" ht="15.75" x14ac:dyDescent="0.25">
      <c r="A10" s="146"/>
      <c r="B10" s="23" t="s">
        <v>9</v>
      </c>
      <c r="C10" s="24">
        <f>99750+104150+38000</f>
        <v>241900</v>
      </c>
      <c r="D10" s="25">
        <v>137299.24</v>
      </c>
      <c r="E10" s="85">
        <f t="shared" ref="E10" si="0">+(D10/C10)</f>
        <v>0.56758677139313762</v>
      </c>
      <c r="F10" s="26"/>
      <c r="G10" s="60"/>
      <c r="H10" s="27"/>
      <c r="I10" s="132"/>
      <c r="J10" s="110"/>
      <c r="K10" s="16"/>
      <c r="L10" s="16"/>
      <c r="M10" s="16"/>
      <c r="N10" s="16"/>
      <c r="O10" s="16"/>
    </row>
    <row r="11" spans="1:15" ht="15.75" x14ac:dyDescent="0.25">
      <c r="A11" s="146"/>
      <c r="B11" s="17"/>
      <c r="C11" s="18"/>
      <c r="D11" s="19"/>
      <c r="E11" s="87"/>
      <c r="F11" s="97" t="s">
        <v>12</v>
      </c>
      <c r="G11" s="123">
        <f>C29*0.1</f>
        <v>160434.49600000001</v>
      </c>
      <c r="H11" s="29">
        <f>SUM(H12:H19)</f>
        <v>73784.44</v>
      </c>
      <c r="I11" s="15">
        <f>H8*0.2</f>
        <v>213236.57160000005</v>
      </c>
      <c r="J11" s="111"/>
      <c r="K11" s="31"/>
      <c r="L11" s="16"/>
      <c r="M11" s="16"/>
      <c r="N11" s="16"/>
      <c r="O11" s="16"/>
    </row>
    <row r="12" spans="1:15" ht="15.75" x14ac:dyDescent="0.25">
      <c r="A12" s="146"/>
      <c r="B12" s="17"/>
      <c r="C12" s="18"/>
      <c r="D12" s="19"/>
      <c r="E12" s="87"/>
      <c r="F12" s="17" t="s">
        <v>13</v>
      </c>
      <c r="G12" s="60">
        <v>49000</v>
      </c>
      <c r="H12" s="21"/>
      <c r="I12" s="15"/>
      <c r="J12" s="41"/>
      <c r="K12" s="16"/>
      <c r="L12" s="16"/>
      <c r="M12" s="16"/>
      <c r="N12" s="16"/>
      <c r="O12" s="16"/>
    </row>
    <row r="13" spans="1:15" ht="15.75" x14ac:dyDescent="0.25">
      <c r="A13" s="146"/>
      <c r="B13" s="23" t="s">
        <v>14</v>
      </c>
      <c r="C13" s="32">
        <f>SUM(C14:C19)</f>
        <v>198000</v>
      </c>
      <c r="D13" s="33">
        <f>SUM(D14:D19)</f>
        <v>149467.10999999999</v>
      </c>
      <c r="E13" s="88">
        <f>+(D13/C13)</f>
        <v>0.75488439393939388</v>
      </c>
      <c r="F13" s="38" t="s">
        <v>21</v>
      </c>
      <c r="G13" s="127">
        <v>32000</v>
      </c>
      <c r="H13" s="21">
        <v>20728.62</v>
      </c>
      <c r="I13" s="132"/>
      <c r="J13" s="62"/>
      <c r="K13" s="16"/>
      <c r="L13" s="16"/>
      <c r="M13" s="16"/>
      <c r="N13" s="16"/>
      <c r="O13" s="16"/>
    </row>
    <row r="14" spans="1:15" ht="15.75" x14ac:dyDescent="0.25">
      <c r="A14" s="146"/>
      <c r="B14" s="17" t="s">
        <v>15</v>
      </c>
      <c r="C14" s="18">
        <v>91000</v>
      </c>
      <c r="D14" s="83">
        <v>36614</v>
      </c>
      <c r="E14" s="87"/>
      <c r="F14" s="17" t="s">
        <v>19</v>
      </c>
      <c r="G14" s="125">
        <v>39434.400000000001</v>
      </c>
      <c r="H14" s="39"/>
      <c r="I14" s="15"/>
      <c r="J14" s="41"/>
      <c r="K14" s="16"/>
      <c r="L14" s="16"/>
      <c r="M14" s="16"/>
      <c r="N14" s="16"/>
      <c r="O14" s="16"/>
    </row>
    <row r="15" spans="1:15" ht="15.75" x14ac:dyDescent="0.25">
      <c r="A15" s="146"/>
      <c r="B15" s="17" t="s">
        <v>16</v>
      </c>
      <c r="C15" s="37">
        <v>10000</v>
      </c>
      <c r="D15" s="83">
        <v>1659.63</v>
      </c>
      <c r="E15" s="87"/>
      <c r="F15" s="17" t="s">
        <v>55</v>
      </c>
      <c r="G15" s="60">
        <v>40000</v>
      </c>
      <c r="H15" s="21">
        <v>11000</v>
      </c>
      <c r="I15" s="15"/>
      <c r="J15" s="41"/>
      <c r="K15" s="16"/>
      <c r="L15" s="16"/>
      <c r="M15" s="16"/>
      <c r="N15" s="16"/>
      <c r="O15" s="16"/>
    </row>
    <row r="16" spans="1:15" ht="15.75" x14ac:dyDescent="0.25">
      <c r="A16" s="146"/>
      <c r="B16" s="17" t="s">
        <v>18</v>
      </c>
      <c r="C16" s="18">
        <v>16000</v>
      </c>
      <c r="D16" s="117">
        <v>38470.21</v>
      </c>
      <c r="E16" s="87"/>
      <c r="F16" s="17" t="s">
        <v>17</v>
      </c>
      <c r="G16" s="60"/>
      <c r="H16" s="21">
        <v>42055.82</v>
      </c>
      <c r="I16" s="15"/>
      <c r="J16" s="41"/>
      <c r="K16" s="16"/>
      <c r="L16" s="16"/>
      <c r="M16" s="16" t="s">
        <v>69</v>
      </c>
      <c r="N16" s="16"/>
      <c r="O16" s="16"/>
    </row>
    <row r="17" spans="1:15" ht="15.75" x14ac:dyDescent="0.25">
      <c r="A17" s="146"/>
      <c r="B17" s="17" t="s">
        <v>22</v>
      </c>
      <c r="C17" s="18">
        <v>24000</v>
      </c>
      <c r="D17" s="83">
        <v>52147.85</v>
      </c>
      <c r="E17" s="87"/>
      <c r="F17" s="17"/>
      <c r="G17" s="60"/>
      <c r="H17" s="21"/>
      <c r="I17" s="62"/>
      <c r="J17" s="41"/>
      <c r="K17" s="41"/>
      <c r="L17" s="41"/>
      <c r="M17" s="41"/>
      <c r="N17" s="41"/>
      <c r="O17" s="16"/>
    </row>
    <row r="18" spans="1:15" ht="15.75" x14ac:dyDescent="0.25">
      <c r="A18" s="146"/>
      <c r="B18" s="17" t="s">
        <v>23</v>
      </c>
      <c r="C18" s="18">
        <v>25000</v>
      </c>
      <c r="D18" s="19">
        <v>2254.81</v>
      </c>
      <c r="E18" s="87"/>
      <c r="F18" s="119"/>
      <c r="H18" s="65"/>
      <c r="I18" s="62"/>
      <c r="J18" s="41"/>
      <c r="K18" s="41"/>
      <c r="L18" s="41"/>
      <c r="M18" s="41"/>
      <c r="N18" s="41"/>
      <c r="O18" s="16"/>
    </row>
    <row r="19" spans="1:15" ht="15.75" x14ac:dyDescent="0.25">
      <c r="A19" s="146"/>
      <c r="B19" s="17" t="s">
        <v>24</v>
      </c>
      <c r="C19" s="18">
        <v>32000</v>
      </c>
      <c r="D19" s="83">
        <v>18320.61</v>
      </c>
      <c r="E19" s="87"/>
      <c r="F19" s="17"/>
      <c r="G19" s="60"/>
      <c r="H19" s="21"/>
      <c r="I19" s="62"/>
      <c r="J19" s="41"/>
      <c r="K19" s="41"/>
      <c r="L19" s="41"/>
      <c r="M19" s="41"/>
      <c r="N19" s="41"/>
      <c r="O19" s="16"/>
    </row>
    <row r="20" spans="1:15" ht="15.75" x14ac:dyDescent="0.25">
      <c r="A20" s="146"/>
      <c r="B20" s="34"/>
      <c r="C20" s="42"/>
      <c r="D20" s="82"/>
      <c r="E20" s="87"/>
      <c r="F20" s="35"/>
      <c r="G20" s="124"/>
      <c r="H20" s="35"/>
      <c r="I20" s="62"/>
      <c r="J20" s="112"/>
      <c r="K20" s="41"/>
      <c r="L20" s="41"/>
      <c r="M20" s="41"/>
      <c r="N20" s="41"/>
      <c r="O20" s="16"/>
    </row>
    <row r="21" spans="1:15" ht="15.75" x14ac:dyDescent="0.25">
      <c r="A21" s="146"/>
      <c r="B21" s="44" t="s">
        <v>25</v>
      </c>
      <c r="C21" s="45">
        <f>SUM(C22:C27)</f>
        <v>293000</v>
      </c>
      <c r="D21" s="46">
        <f>SUM(D22:D28)</f>
        <v>219082.59</v>
      </c>
      <c r="E21" s="89">
        <f t="shared" ref="E21" si="1">+(D21/C21)</f>
        <v>0.74772215017064847</v>
      </c>
      <c r="F21" s="35"/>
      <c r="G21" s="124"/>
      <c r="H21" s="35"/>
      <c r="I21" s="62"/>
      <c r="J21" s="41"/>
      <c r="K21" s="41"/>
      <c r="L21" s="41"/>
      <c r="M21" s="41"/>
      <c r="N21" s="41"/>
      <c r="O21" s="16"/>
    </row>
    <row r="22" spans="1:15" ht="15.75" x14ac:dyDescent="0.25">
      <c r="A22" s="146"/>
      <c r="B22" s="34" t="s">
        <v>26</v>
      </c>
      <c r="C22" s="42">
        <v>20000</v>
      </c>
      <c r="D22" s="43"/>
      <c r="E22" s="87"/>
      <c r="F22" s="35"/>
      <c r="G22" s="124"/>
      <c r="H22" s="35"/>
      <c r="I22" s="62"/>
      <c r="J22" s="41"/>
      <c r="K22" s="41"/>
      <c r="L22" s="41"/>
      <c r="M22" s="41"/>
      <c r="N22" s="41"/>
      <c r="O22" s="16"/>
    </row>
    <row r="23" spans="1:15" ht="15.75" x14ac:dyDescent="0.25">
      <c r="A23" s="146"/>
      <c r="B23" s="34" t="s">
        <v>27</v>
      </c>
      <c r="C23" s="42">
        <v>22000</v>
      </c>
      <c r="D23" s="43">
        <v>500</v>
      </c>
      <c r="E23" s="87"/>
      <c r="F23" s="34"/>
      <c r="G23" s="124"/>
      <c r="H23" s="35"/>
      <c r="I23" s="62"/>
      <c r="J23" s="41"/>
      <c r="K23" s="41"/>
      <c r="L23" s="41"/>
      <c r="M23" s="41"/>
      <c r="N23" s="41"/>
      <c r="O23" s="16"/>
    </row>
    <row r="24" spans="1:15" ht="15.75" x14ac:dyDescent="0.25">
      <c r="A24" s="146"/>
      <c r="B24" s="34" t="s">
        <v>28</v>
      </c>
      <c r="C24" s="42">
        <v>56000</v>
      </c>
      <c r="D24" s="43">
        <v>33918.449999999997</v>
      </c>
      <c r="E24" s="87"/>
      <c r="F24" s="35"/>
      <c r="G24" s="124"/>
      <c r="H24" s="35"/>
      <c r="I24" s="62"/>
      <c r="J24" s="62"/>
      <c r="K24" s="41"/>
      <c r="L24" s="41"/>
      <c r="M24" s="41"/>
      <c r="N24" s="41"/>
      <c r="O24" s="16"/>
    </row>
    <row r="25" spans="1:15" ht="15.75" x14ac:dyDescent="0.25">
      <c r="A25" s="146"/>
      <c r="B25" s="34" t="s">
        <v>29</v>
      </c>
      <c r="C25" s="42">
        <v>6500</v>
      </c>
      <c r="D25" s="43"/>
      <c r="E25" s="87"/>
      <c r="F25" s="34"/>
      <c r="G25" s="124"/>
      <c r="H25" s="35"/>
      <c r="I25" s="62"/>
      <c r="J25" s="41"/>
      <c r="K25" s="41"/>
      <c r="L25" s="41"/>
      <c r="M25" s="41"/>
      <c r="N25" s="41"/>
      <c r="O25" s="16"/>
    </row>
    <row r="26" spans="1:15" ht="15.75" x14ac:dyDescent="0.25">
      <c r="A26" s="146"/>
      <c r="B26" s="34" t="s">
        <v>30</v>
      </c>
      <c r="C26" s="42">
        <v>25000</v>
      </c>
      <c r="D26" s="82">
        <v>27140.92</v>
      </c>
      <c r="E26" s="87"/>
      <c r="F26" s="34"/>
      <c r="G26" s="124"/>
      <c r="H26" s="35"/>
      <c r="I26" s="62"/>
      <c r="J26" s="62"/>
      <c r="K26" s="41"/>
      <c r="L26" s="41"/>
      <c r="M26" s="41"/>
      <c r="N26" s="41"/>
      <c r="O26" s="16"/>
    </row>
    <row r="27" spans="1:15" ht="15.75" x14ac:dyDescent="0.25">
      <c r="A27" s="146"/>
      <c r="B27" s="34" t="s">
        <v>31</v>
      </c>
      <c r="C27" s="42">
        <v>163500</v>
      </c>
      <c r="D27" s="82">
        <v>157523.22</v>
      </c>
      <c r="E27" s="87"/>
      <c r="F27" s="34"/>
      <c r="G27" s="124"/>
      <c r="H27" s="35"/>
      <c r="I27" s="62"/>
      <c r="J27" s="41"/>
      <c r="K27" s="41"/>
      <c r="L27" s="41"/>
      <c r="M27" s="41"/>
      <c r="N27" s="41"/>
      <c r="O27" s="16"/>
    </row>
    <row r="28" spans="1:15" ht="16.5" thickBot="1" x14ac:dyDescent="0.3">
      <c r="A28" s="146"/>
      <c r="B28" s="34"/>
      <c r="C28" s="42"/>
      <c r="D28" s="82"/>
      <c r="E28" s="90"/>
      <c r="F28" s="120"/>
      <c r="G28" s="124"/>
      <c r="H28" s="126"/>
      <c r="I28" s="62"/>
      <c r="J28" s="41"/>
      <c r="K28" s="41"/>
      <c r="L28" s="41"/>
      <c r="M28" s="41"/>
      <c r="N28" s="41"/>
      <c r="O28" s="16"/>
    </row>
    <row r="29" spans="1:15" s="2" customFormat="1" ht="20.25" customHeight="1" thickBot="1" x14ac:dyDescent="0.3">
      <c r="A29" s="6"/>
      <c r="B29" s="47" t="s">
        <v>32</v>
      </c>
      <c r="C29" s="48">
        <f>C21+C13+C10+C8</f>
        <v>1604344.96</v>
      </c>
      <c r="D29" s="49">
        <f>D21+D13+D10+D8</f>
        <v>1184647.6200000001</v>
      </c>
      <c r="E29" s="91">
        <f>+(D29/C29)</f>
        <v>0.73839956464225753</v>
      </c>
      <c r="F29" s="47" t="s">
        <v>32</v>
      </c>
      <c r="G29" s="50">
        <f>G11+G8</f>
        <v>1604344.96</v>
      </c>
      <c r="H29" s="50">
        <f>H11+H8</f>
        <v>1139967.2980000002</v>
      </c>
      <c r="I29" s="133"/>
      <c r="J29" s="108"/>
      <c r="K29" s="52"/>
      <c r="L29" s="52"/>
      <c r="M29" s="52"/>
      <c r="N29" s="52"/>
      <c r="O29" s="53"/>
    </row>
    <row r="30" spans="1:15" s="2" customFormat="1" ht="20.25" customHeight="1" thickBot="1" x14ac:dyDescent="0.3">
      <c r="A30" s="145" t="s">
        <v>33</v>
      </c>
      <c r="B30" s="54" t="s">
        <v>82</v>
      </c>
      <c r="C30" s="75"/>
      <c r="D30" s="57"/>
      <c r="E30" s="92"/>
      <c r="F30" s="55" t="s">
        <v>35</v>
      </c>
      <c r="G30" s="56"/>
      <c r="H30" s="57"/>
      <c r="I30" s="108"/>
      <c r="J30" s="52"/>
      <c r="K30" s="52"/>
      <c r="L30" s="52"/>
      <c r="M30" s="52"/>
      <c r="N30" s="52"/>
      <c r="O30" s="53"/>
    </row>
    <row r="31" spans="1:15" ht="15.75" x14ac:dyDescent="0.25">
      <c r="A31" s="146"/>
      <c r="B31" s="58" t="s">
        <v>81</v>
      </c>
      <c r="C31" s="148"/>
      <c r="D31" s="19">
        <f>39081.68+5625</f>
        <v>44706.68</v>
      </c>
      <c r="E31" s="93"/>
      <c r="F31" s="98" t="str">
        <f>B31</f>
        <v>NEF/Artificial Intelligence Project</v>
      </c>
      <c r="G31" s="148"/>
      <c r="H31" s="21">
        <f t="shared" ref="H31:H42" si="2">D31</f>
        <v>44706.68</v>
      </c>
      <c r="I31" s="62"/>
      <c r="J31" s="41"/>
      <c r="K31" s="41"/>
      <c r="L31" s="41"/>
      <c r="M31" s="41"/>
      <c r="N31" s="41"/>
      <c r="O31" s="16"/>
    </row>
    <row r="32" spans="1:15" ht="15.75" x14ac:dyDescent="0.25">
      <c r="A32" s="146"/>
      <c r="B32" s="59" t="s">
        <v>83</v>
      </c>
      <c r="C32" s="149"/>
      <c r="D32" s="21">
        <v>3151.86</v>
      </c>
      <c r="E32" s="94"/>
      <c r="F32" s="36" t="str">
        <f>+B32</f>
        <v>EACEA / ATHENA Project</v>
      </c>
      <c r="G32" s="149"/>
      <c r="H32" s="21">
        <f t="shared" si="2"/>
        <v>3151.86</v>
      </c>
      <c r="I32" s="62"/>
      <c r="J32" s="41"/>
      <c r="K32" s="41"/>
      <c r="L32" s="41"/>
      <c r="M32" s="41"/>
      <c r="N32" s="41"/>
      <c r="O32" s="16"/>
    </row>
    <row r="33" spans="1:15" ht="15.75" x14ac:dyDescent="0.25">
      <c r="A33" s="146"/>
      <c r="B33" s="17" t="s">
        <v>49</v>
      </c>
      <c r="C33" s="149"/>
      <c r="D33" s="21">
        <v>57140.31</v>
      </c>
      <c r="E33" s="94"/>
      <c r="F33" s="36" t="str">
        <f t="shared" ref="F33:F39" si="3">B33</f>
        <v>Waicoop</v>
      </c>
      <c r="G33" s="149"/>
      <c r="H33" s="21">
        <f t="shared" si="2"/>
        <v>57140.31</v>
      </c>
      <c r="I33" s="62"/>
      <c r="J33" s="41"/>
      <c r="K33" s="41"/>
      <c r="L33" s="41"/>
      <c r="M33" s="41"/>
      <c r="N33" s="41"/>
      <c r="O33" s="16"/>
    </row>
    <row r="34" spans="1:15" ht="15.75" x14ac:dyDescent="0.25">
      <c r="A34" s="146"/>
      <c r="B34" s="17" t="s">
        <v>87</v>
      </c>
      <c r="C34" s="149"/>
      <c r="D34" s="21">
        <v>81868.850000000006</v>
      </c>
      <c r="E34" s="94"/>
      <c r="F34" s="36" t="str">
        <f t="shared" si="3"/>
        <v>Citi Foundation / Ascend Project</v>
      </c>
      <c r="G34" s="149"/>
      <c r="H34" s="21">
        <f t="shared" si="2"/>
        <v>81868.850000000006</v>
      </c>
      <c r="I34" s="62"/>
      <c r="J34" s="41"/>
      <c r="K34" s="41"/>
      <c r="L34" s="41"/>
      <c r="M34" s="41"/>
      <c r="N34" s="41"/>
      <c r="O34" s="16"/>
    </row>
    <row r="35" spans="1:15" ht="15.75" x14ac:dyDescent="0.25">
      <c r="A35" s="146"/>
      <c r="B35" s="17" t="s">
        <v>39</v>
      </c>
      <c r="C35" s="149"/>
      <c r="D35" s="21">
        <f>92062.89+5000.48+3763.88+178-65.1+3831.36+2539.98+2624.22+8505.77+6631.72+669.99+1403.6</f>
        <v>127146.79000000001</v>
      </c>
      <c r="E35" s="61"/>
      <c r="F35" s="17" t="str">
        <f t="shared" si="3"/>
        <v>Wellspring</v>
      </c>
      <c r="G35" s="149"/>
      <c r="H35" s="21">
        <f t="shared" si="2"/>
        <v>127146.79000000001</v>
      </c>
      <c r="I35" s="62"/>
      <c r="J35" s="41"/>
      <c r="K35" s="41"/>
      <c r="L35" s="41"/>
      <c r="M35" s="41"/>
      <c r="N35" s="41"/>
      <c r="O35" s="16"/>
    </row>
    <row r="36" spans="1:15" ht="15.75" x14ac:dyDescent="0.25">
      <c r="A36" s="146"/>
      <c r="B36" s="17" t="s">
        <v>71</v>
      </c>
      <c r="C36" s="149"/>
      <c r="D36" s="21">
        <v>358593.49</v>
      </c>
      <c r="E36" s="61"/>
      <c r="F36" s="36" t="str">
        <f t="shared" si="3"/>
        <v>UNSR</v>
      </c>
      <c r="G36" s="149"/>
      <c r="H36" s="21">
        <f t="shared" si="2"/>
        <v>358593.49</v>
      </c>
      <c r="I36" s="62"/>
      <c r="J36" s="41"/>
      <c r="K36" s="41"/>
      <c r="L36" s="41"/>
      <c r="M36" s="41"/>
      <c r="N36" s="41"/>
      <c r="O36" s="16"/>
    </row>
    <row r="37" spans="1:15" ht="15.75" x14ac:dyDescent="0.25">
      <c r="A37" s="146"/>
      <c r="B37" s="17" t="s">
        <v>84</v>
      </c>
      <c r="C37" s="149"/>
      <c r="D37" s="21">
        <v>361241.63</v>
      </c>
      <c r="E37" s="61"/>
      <c r="F37" s="36" t="str">
        <f t="shared" si="3"/>
        <v>Ukraine Phase 1</v>
      </c>
      <c r="G37" s="149"/>
      <c r="H37" s="21">
        <f t="shared" si="2"/>
        <v>361241.63</v>
      </c>
      <c r="I37" s="62"/>
      <c r="J37" s="41"/>
      <c r="K37" s="41"/>
      <c r="L37" s="41"/>
      <c r="M37" s="41"/>
      <c r="N37" s="41"/>
      <c r="O37" s="16"/>
    </row>
    <row r="38" spans="1:15" ht="15.75" x14ac:dyDescent="0.25">
      <c r="A38" s="146"/>
      <c r="B38" s="17" t="s">
        <v>85</v>
      </c>
      <c r="C38" s="149"/>
      <c r="D38" s="21">
        <v>124661.15</v>
      </c>
      <c r="E38" s="61"/>
      <c r="F38" s="36" t="str">
        <f t="shared" si="3"/>
        <v>CBM / Ukraine Phase 2</v>
      </c>
      <c r="G38" s="149"/>
      <c r="H38" s="21">
        <f t="shared" si="2"/>
        <v>124661.15</v>
      </c>
      <c r="I38" s="62"/>
      <c r="J38" s="41"/>
      <c r="K38" s="41"/>
      <c r="L38" s="41"/>
      <c r="M38" s="41"/>
      <c r="N38" s="41"/>
      <c r="O38" s="16"/>
    </row>
    <row r="39" spans="1:15" ht="15.75" x14ac:dyDescent="0.25">
      <c r="A39" s="146"/>
      <c r="B39" s="17" t="s">
        <v>92</v>
      </c>
      <c r="C39" s="149"/>
      <c r="D39" s="21">
        <v>13900.5</v>
      </c>
      <c r="E39" s="61"/>
      <c r="F39" s="36" t="str">
        <f t="shared" si="3"/>
        <v>GFFO / Ukraine</v>
      </c>
      <c r="G39" s="149"/>
      <c r="H39" s="21">
        <f t="shared" si="2"/>
        <v>13900.5</v>
      </c>
      <c r="I39" s="62"/>
      <c r="J39" s="41"/>
      <c r="K39" s="41"/>
      <c r="L39" s="41"/>
      <c r="M39" s="41"/>
      <c r="N39" s="41"/>
      <c r="O39" s="16"/>
    </row>
    <row r="40" spans="1:15" ht="15.75" x14ac:dyDescent="0.25">
      <c r="A40" s="146"/>
      <c r="B40" s="17" t="s">
        <v>93</v>
      </c>
      <c r="C40" s="149"/>
      <c r="D40" s="21">
        <v>91295.37</v>
      </c>
      <c r="E40" s="61"/>
      <c r="F40" s="36" t="str">
        <f>B40</f>
        <v>DREE</v>
      </c>
      <c r="G40" s="149"/>
      <c r="H40" s="21">
        <f t="shared" si="2"/>
        <v>91295.37</v>
      </c>
      <c r="I40" s="62"/>
      <c r="J40" s="1"/>
      <c r="K40" s="41"/>
      <c r="L40" s="41"/>
      <c r="M40" s="41"/>
      <c r="N40" s="41"/>
      <c r="O40" s="16"/>
    </row>
    <row r="41" spans="1:15" ht="15.75" x14ac:dyDescent="0.25">
      <c r="A41" s="146"/>
      <c r="B41" s="17" t="s">
        <v>74</v>
      </c>
      <c r="C41" s="149"/>
      <c r="D41" s="21">
        <v>32300.880000000001</v>
      </c>
      <c r="E41" s="61"/>
      <c r="F41" s="36" t="str">
        <f>B41</f>
        <v>EU ACCESS Project</v>
      </c>
      <c r="G41" s="149"/>
      <c r="H41" s="21">
        <f t="shared" si="2"/>
        <v>32300.880000000001</v>
      </c>
      <c r="I41" s="62"/>
      <c r="J41" s="1"/>
      <c r="K41" s="41"/>
      <c r="L41" s="41"/>
      <c r="M41" s="41"/>
      <c r="N41" s="41"/>
      <c r="O41" s="16"/>
    </row>
    <row r="42" spans="1:15" ht="15.75" x14ac:dyDescent="0.25">
      <c r="A42" s="146"/>
      <c r="B42" s="17" t="s">
        <v>86</v>
      </c>
      <c r="C42" s="149"/>
      <c r="D42" s="21">
        <v>105179.55</v>
      </c>
      <c r="E42" s="61"/>
      <c r="F42" s="36" t="str">
        <f>B42</f>
        <v>TIDES Foundation / Google</v>
      </c>
      <c r="G42" s="149"/>
      <c r="H42" s="21">
        <f t="shared" si="2"/>
        <v>105179.55</v>
      </c>
      <c r="I42" s="62"/>
      <c r="J42" s="1"/>
      <c r="K42" s="41"/>
      <c r="L42" s="41"/>
      <c r="M42" s="41"/>
      <c r="N42" s="41"/>
      <c r="O42" s="16"/>
    </row>
    <row r="43" spans="1:15" ht="15.75" x14ac:dyDescent="0.25">
      <c r="A43" s="146"/>
      <c r="B43" s="17"/>
      <c r="C43" s="149"/>
      <c r="D43" s="21"/>
      <c r="E43" s="61"/>
      <c r="F43" s="36"/>
      <c r="G43" s="149"/>
      <c r="H43" s="21"/>
      <c r="I43" s="62"/>
      <c r="J43" s="41"/>
      <c r="K43" s="41"/>
      <c r="L43" s="62"/>
      <c r="M43" s="41"/>
      <c r="N43" s="41"/>
      <c r="O43" s="16"/>
    </row>
    <row r="44" spans="1:15" ht="15.75" x14ac:dyDescent="0.25">
      <c r="A44" s="146"/>
      <c r="B44" s="17" t="s">
        <v>73</v>
      </c>
      <c r="C44" s="149"/>
      <c r="D44" s="21">
        <f>C64</f>
        <v>52981.34</v>
      </c>
      <c r="E44" s="61"/>
      <c r="F44" s="36" t="s">
        <v>19</v>
      </c>
      <c r="G44" s="149"/>
      <c r="H44" s="21">
        <v>181040</v>
      </c>
      <c r="I44" s="62"/>
      <c r="J44" s="41"/>
      <c r="K44" s="41"/>
      <c r="L44" s="41"/>
      <c r="M44" s="41"/>
      <c r="N44" s="41"/>
      <c r="O44" s="16"/>
    </row>
    <row r="45" spans="1:15" ht="15.75" x14ac:dyDescent="0.25">
      <c r="A45" s="146"/>
      <c r="B45" s="17"/>
      <c r="C45" s="150"/>
      <c r="D45" s="35"/>
      <c r="E45" s="61"/>
      <c r="F45" s="100" t="s">
        <v>67</v>
      </c>
      <c r="G45" s="149"/>
      <c r="H45" s="35">
        <v>15440.15</v>
      </c>
      <c r="I45" s="62"/>
      <c r="J45" s="62"/>
      <c r="K45" s="41"/>
      <c r="L45" s="62"/>
      <c r="M45" s="41"/>
      <c r="N45" s="41"/>
      <c r="O45" s="16"/>
    </row>
    <row r="46" spans="1:15" ht="15.75" x14ac:dyDescent="0.25">
      <c r="A46" s="146"/>
      <c r="B46" s="63" t="s">
        <v>44</v>
      </c>
      <c r="C46" s="60"/>
      <c r="D46" s="21"/>
      <c r="E46" s="94"/>
      <c r="F46" s="36"/>
      <c r="G46" s="150"/>
      <c r="H46" s="21"/>
      <c r="I46" s="62"/>
      <c r="J46" s="62"/>
      <c r="K46" s="41"/>
      <c r="L46" s="41"/>
      <c r="M46" s="41"/>
      <c r="N46" s="41"/>
      <c r="O46" s="16"/>
    </row>
    <row r="47" spans="1:15" ht="18" customHeight="1" thickBot="1" x14ac:dyDescent="0.3">
      <c r="A47" s="146"/>
      <c r="B47" s="17"/>
      <c r="C47" s="64"/>
      <c r="D47" s="77"/>
      <c r="E47" s="95"/>
      <c r="F47" s="101"/>
      <c r="G47" s="65"/>
      <c r="H47" s="65"/>
      <c r="I47" s="62"/>
      <c r="J47" s="62"/>
      <c r="K47" s="41"/>
      <c r="L47" s="41"/>
      <c r="M47" s="41"/>
      <c r="N47" s="41"/>
      <c r="O47" s="16"/>
    </row>
    <row r="48" spans="1:15" ht="24" customHeight="1" thickBot="1" x14ac:dyDescent="0.3">
      <c r="A48" s="147"/>
      <c r="B48" s="63"/>
      <c r="C48" s="76">
        <f>SUM(C31:C47)</f>
        <v>0</v>
      </c>
      <c r="D48" s="67">
        <f>SUM(D31:D47)</f>
        <v>1454168.4</v>
      </c>
      <c r="E48" s="96"/>
      <c r="F48" s="102" t="s">
        <v>32</v>
      </c>
      <c r="G48" s="67">
        <f>SUM(G31:G47)</f>
        <v>0</v>
      </c>
      <c r="H48" s="109">
        <f>SUM(H31:H46)</f>
        <v>1597667.2099999997</v>
      </c>
      <c r="I48" s="62"/>
      <c r="J48" s="62"/>
      <c r="K48" s="62"/>
      <c r="L48" s="41"/>
      <c r="M48" s="41"/>
      <c r="N48" s="41"/>
      <c r="O48" s="16"/>
    </row>
    <row r="49" spans="1:15" ht="24" customHeight="1" thickBot="1" x14ac:dyDescent="0.3">
      <c r="B49" s="66" t="s">
        <v>32</v>
      </c>
      <c r="C49" s="69">
        <f>C48+C29</f>
        <v>1604344.96</v>
      </c>
      <c r="D49" s="69">
        <f>D48+D29</f>
        <v>2638816.02</v>
      </c>
      <c r="E49" s="70"/>
      <c r="F49" s="71" t="s">
        <v>40</v>
      </c>
      <c r="G49" s="69">
        <f>G29+G48</f>
        <v>1604344.96</v>
      </c>
      <c r="H49" s="72">
        <f>H29+H48</f>
        <v>2737634.5079999999</v>
      </c>
      <c r="I49" s="62"/>
      <c r="J49" s="62"/>
      <c r="K49" s="41"/>
      <c r="L49" s="41"/>
      <c r="M49" s="41"/>
      <c r="N49" s="41"/>
      <c r="O49" s="16"/>
    </row>
    <row r="50" spans="1:15" ht="15.75" x14ac:dyDescent="0.25">
      <c r="B50" s="68" t="s">
        <v>40</v>
      </c>
      <c r="D50" s="84"/>
      <c r="E50" s="1"/>
      <c r="I50" s="62"/>
      <c r="J50" s="62"/>
      <c r="K50" s="41"/>
      <c r="L50" s="41"/>
      <c r="M50" s="41"/>
      <c r="N50" s="41"/>
      <c r="O50" s="16"/>
    </row>
    <row r="51" spans="1:15" ht="15.75" x14ac:dyDescent="0.25">
      <c r="A51" s="118" t="s">
        <v>43</v>
      </c>
      <c r="C51" s="134"/>
      <c r="E51" s="128"/>
      <c r="I51" s="62"/>
      <c r="J51" s="41"/>
      <c r="K51" s="41"/>
      <c r="L51" s="41"/>
      <c r="M51" s="41"/>
      <c r="N51" s="41"/>
      <c r="O51" s="16"/>
    </row>
    <row r="52" spans="1:15" ht="15.75" x14ac:dyDescent="0.25">
      <c r="A52" s="118"/>
      <c r="B52" s="135" t="s">
        <v>88</v>
      </c>
      <c r="C52" s="136">
        <v>126.95</v>
      </c>
      <c r="E52" s="128"/>
      <c r="I52" s="62"/>
      <c r="J52" s="41"/>
      <c r="K52" s="41"/>
      <c r="L52" s="41"/>
      <c r="M52" s="41"/>
      <c r="N52" s="41"/>
      <c r="O52" s="16"/>
    </row>
    <row r="53" spans="1:15" ht="15.75" x14ac:dyDescent="0.25">
      <c r="A53" s="118"/>
      <c r="B53" s="137" t="s">
        <v>75</v>
      </c>
      <c r="C53" s="138">
        <v>6897.07</v>
      </c>
      <c r="E53" s="128"/>
      <c r="I53" s="62"/>
      <c r="J53" s="41"/>
      <c r="K53" s="41"/>
      <c r="L53" s="41"/>
      <c r="M53" s="41"/>
      <c r="N53" s="41"/>
      <c r="O53" s="16"/>
    </row>
    <row r="54" spans="1:15" ht="15.75" x14ac:dyDescent="0.25">
      <c r="B54" s="137" t="s">
        <v>76</v>
      </c>
      <c r="C54" s="138">
        <v>5097.8</v>
      </c>
      <c r="E54" s="129"/>
      <c r="I54" s="15"/>
      <c r="J54" s="16"/>
      <c r="K54" s="16"/>
      <c r="L54" s="16"/>
      <c r="M54" s="16"/>
      <c r="N54" s="16"/>
      <c r="O54" s="16"/>
    </row>
    <row r="55" spans="1:15" ht="15.75" x14ac:dyDescent="0.25">
      <c r="B55" s="137" t="s">
        <v>77</v>
      </c>
      <c r="C55" s="138">
        <v>836.01</v>
      </c>
      <c r="E55" s="129"/>
      <c r="I55" s="15"/>
      <c r="J55" s="16"/>
      <c r="K55" s="16"/>
      <c r="L55" s="16"/>
      <c r="M55" s="16"/>
      <c r="N55" s="16"/>
      <c r="O55" s="16"/>
    </row>
    <row r="56" spans="1:15" ht="15.75" x14ac:dyDescent="0.25">
      <c r="B56" s="137" t="s">
        <v>78</v>
      </c>
      <c r="C56" s="138">
        <v>314.27999999999997</v>
      </c>
      <c r="E56" s="129"/>
      <c r="I56" s="15"/>
      <c r="J56" s="16"/>
      <c r="K56" s="16"/>
      <c r="L56" s="16"/>
      <c r="M56" s="16"/>
      <c r="N56" s="16"/>
      <c r="O56" s="16"/>
    </row>
    <row r="57" spans="1:15" ht="15.75" x14ac:dyDescent="0.25">
      <c r="B57" s="137" t="s">
        <v>89</v>
      </c>
      <c r="C57" s="138">
        <v>151.69999999999999</v>
      </c>
      <c r="I57" s="15"/>
      <c r="J57" s="16"/>
      <c r="K57" s="16"/>
      <c r="L57" s="16"/>
      <c r="M57" s="16"/>
      <c r="N57" s="16"/>
      <c r="O57" s="16"/>
    </row>
    <row r="58" spans="1:15" x14ac:dyDescent="0.25">
      <c r="B58" s="137" t="s">
        <v>68</v>
      </c>
      <c r="C58" s="138">
        <v>1000</v>
      </c>
    </row>
    <row r="59" spans="1:15" x14ac:dyDescent="0.25">
      <c r="B59" s="137" t="s">
        <v>79</v>
      </c>
      <c r="C59" s="138">
        <v>7370.5</v>
      </c>
      <c r="D59" s="134"/>
    </row>
    <row r="60" spans="1:15" x14ac:dyDescent="0.25">
      <c r="B60" s="137" t="s">
        <v>90</v>
      </c>
      <c r="C60" s="138">
        <v>648.52</v>
      </c>
    </row>
    <row r="61" spans="1:15" x14ac:dyDescent="0.25">
      <c r="B61" s="137" t="s">
        <v>91</v>
      </c>
      <c r="C61" s="138">
        <v>-296.04000000000002</v>
      </c>
    </row>
    <row r="62" spans="1:15" x14ac:dyDescent="0.25">
      <c r="B62" s="139" t="s">
        <v>72</v>
      </c>
      <c r="C62" s="140">
        <v>30834.55</v>
      </c>
    </row>
    <row r="63" spans="1:15" x14ac:dyDescent="0.25">
      <c r="B63" s="141"/>
      <c r="C63" s="140"/>
    </row>
    <row r="64" spans="1:15" x14ac:dyDescent="0.25">
      <c r="B64" s="142"/>
      <c r="C64" s="143">
        <f>SUM(C52:C63)</f>
        <v>52981.34</v>
      </c>
    </row>
  </sheetData>
  <mergeCells count="5">
    <mergeCell ref="B2:H2"/>
    <mergeCell ref="A8:A28"/>
    <mergeCell ref="A30:A48"/>
    <mergeCell ref="C31:C45"/>
    <mergeCell ref="G31:G4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1T2021</vt:lpstr>
      <vt:lpstr>2T2021</vt:lpstr>
      <vt:lpstr>3T2021</vt:lpstr>
      <vt:lpstr>interim accounts 09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</dc:creator>
  <cp:lastModifiedBy>Raquel Riaza</cp:lastModifiedBy>
  <cp:lastPrinted>2021-04-08T15:31:27Z</cp:lastPrinted>
  <dcterms:created xsi:type="dcterms:W3CDTF">2020-04-29T13:06:32Z</dcterms:created>
  <dcterms:modified xsi:type="dcterms:W3CDTF">2023-11-17T13:30:20Z</dcterms:modified>
</cp:coreProperties>
</file>