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heckCompatibility="1" defaultThemeVersion="202300"/>
  <mc:AlternateContent xmlns:mc="http://schemas.openxmlformats.org/markup-compatibility/2006">
    <mc:Choice Requires="x15">
      <x15ac:absPath xmlns:x15ac="http://schemas.microsoft.com/office/spreadsheetml/2010/11/ac" url="C:\Users\Catherine\Downloads\"/>
    </mc:Choice>
  </mc:AlternateContent>
  <xr:revisionPtr revIDLastSave="0" documentId="8_{71C960E1-9E3B-4E1A-A54A-C23D990A88B1}" xr6:coauthVersionLast="47" xr6:coauthVersionMax="47" xr10:uidLastSave="{00000000-0000-0000-0000-000000000000}"/>
  <workbookProtection workbookAlgorithmName="SHA-512" workbookHashValue="ED1U/nMDZ65/n8b4GThfeww2lO5oCfFw5YaetS9brSH4He2w7TAI4oCctUD4uT8MW+ANDW9fIM3f7OqXcp1IPA==" workbookSaltValue="B3MRw+I2IUhyda7iv9BHnA==" workbookSpinCount="100000" lockStructure="1"/>
  <bookViews>
    <workbookView xWindow="28680" yWindow="-120" windowWidth="29040" windowHeight="15720" xr2:uid="{E108017B-AE4E-4B8C-9A78-523CAA58E491}"/>
  </bookViews>
  <sheets>
    <sheet name="09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2" l="1"/>
  <c r="C32" i="2" l="1"/>
  <c r="C25" i="2"/>
  <c r="B22" i="2" l="1"/>
  <c r="H22" i="2" l="1"/>
  <c r="B36" i="2" l="1"/>
  <c r="H36" i="2" s="1"/>
  <c r="B28" i="2" l="1"/>
  <c r="B25" i="2" s="1"/>
  <c r="H25" i="2" s="1"/>
  <c r="C18" i="2" l="1"/>
  <c r="B18" i="2"/>
  <c r="B45" i="2" s="1"/>
  <c r="D20" i="2"/>
  <c r="D19" i="2"/>
  <c r="D8" i="2"/>
  <c r="H18" i="2" l="1"/>
  <c r="B12" i="2"/>
  <c r="C36" i="2" l="1"/>
  <c r="D39" i="2"/>
  <c r="D87" i="2"/>
  <c r="H45" i="2"/>
  <c r="F34" i="2"/>
  <c r="S34" i="2"/>
  <c r="R25" i="2"/>
  <c r="F25" i="2" s="1"/>
  <c r="I25" i="2" s="1"/>
  <c r="D22" i="2"/>
  <c r="D26" i="2"/>
  <c r="D27" i="2"/>
  <c r="D28" i="2"/>
  <c r="D29" i="2"/>
  <c r="D33" i="2"/>
  <c r="D34" i="2"/>
  <c r="D37" i="2"/>
  <c r="D38" i="2"/>
  <c r="D18" i="2"/>
  <c r="E45" i="2"/>
  <c r="F41" i="2"/>
  <c r="G41" i="2" s="1"/>
  <c r="S41" i="2"/>
  <c r="D32" i="2" l="1"/>
  <c r="J25" i="2"/>
  <c r="C45" i="2"/>
  <c r="D45" i="2" s="1"/>
  <c r="G34" i="2"/>
  <c r="I34" i="2"/>
  <c r="J34" i="2" s="1"/>
  <c r="K34" i="2" s="1"/>
  <c r="D25" i="2"/>
  <c r="R36" i="2"/>
  <c r="D36" i="2"/>
  <c r="S25" i="2"/>
  <c r="G25" i="2"/>
  <c r="F36" i="2" l="1"/>
  <c r="I36" i="2" s="1"/>
  <c r="J36" i="2" s="1"/>
  <c r="K25" i="2"/>
  <c r="S36" i="2"/>
  <c r="S18" i="2"/>
  <c r="R22" i="2"/>
  <c r="S22" i="2" s="1"/>
  <c r="F22" i="2" s="1"/>
  <c r="R33" i="2"/>
  <c r="G36" i="2" l="1"/>
  <c r="K36" i="2" s="1"/>
  <c r="R32" i="2"/>
  <c r="R45" i="2" s="1"/>
  <c r="F33" i="2"/>
  <c r="G22" i="2"/>
  <c r="I22" i="2"/>
  <c r="J22" i="2" s="1"/>
  <c r="K22" i="2" s="1"/>
  <c r="G33" i="2"/>
  <c r="S33" i="2"/>
  <c r="F18" i="2"/>
  <c r="S32" i="2" l="1"/>
  <c r="S45" i="2" s="1"/>
  <c r="I18" i="2"/>
  <c r="G32" i="2"/>
  <c r="J32" i="2" s="1"/>
  <c r="K32" i="2" s="1"/>
  <c r="F32" i="2"/>
  <c r="I32" i="2" s="1"/>
  <c r="I33" i="2"/>
  <c r="J33" i="2" s="1"/>
  <c r="K33" i="2" s="1"/>
  <c r="G18" i="2"/>
  <c r="J18" i="2" l="1"/>
  <c r="K18" i="2" s="1"/>
  <c r="I45" i="2"/>
  <c r="J45" i="2" s="1"/>
  <c r="F45" i="2"/>
  <c r="D12" i="2"/>
  <c r="C15" i="2"/>
  <c r="S13" i="2"/>
  <c r="E13" i="2" s="1"/>
  <c r="H13" i="2" s="1"/>
  <c r="D13" i="2"/>
  <c r="S9" i="2"/>
  <c r="F9" i="2" s="1"/>
  <c r="G9" i="2" s="1"/>
  <c r="D9" i="2"/>
  <c r="R8" i="2"/>
  <c r="Q12" i="2"/>
  <c r="R15" i="2" l="1"/>
  <c r="S8" i="2"/>
  <c r="G45" i="2"/>
  <c r="E12" i="2"/>
  <c r="S12" i="2"/>
  <c r="I9" i="2"/>
  <c r="K9" i="2" s="1"/>
  <c r="C48" i="2"/>
  <c r="K13" i="2"/>
  <c r="J13" i="2"/>
  <c r="G13" i="2"/>
  <c r="D15" i="2"/>
  <c r="D48" i="2" s="1"/>
  <c r="Q15" i="2"/>
  <c r="B15" i="2"/>
  <c r="B48" i="2" s="1"/>
  <c r="G12" i="2" l="1"/>
  <c r="H12" i="2"/>
  <c r="J12" i="2" s="1"/>
  <c r="K45" i="2"/>
  <c r="F8" i="2"/>
  <c r="S15" i="2"/>
  <c r="J9" i="2"/>
  <c r="E15" i="2"/>
  <c r="K12" i="2" l="1"/>
  <c r="I8" i="2"/>
  <c r="I15" i="2" s="1"/>
  <c r="G8" i="2"/>
  <c r="J8" i="2" s="1"/>
  <c r="K8" i="2" s="1"/>
  <c r="F15" i="2"/>
  <c r="H15" i="2"/>
  <c r="G15" i="2" l="1"/>
  <c r="J15" i="2"/>
  <c r="K15" i="2" l="1"/>
</calcChain>
</file>

<file path=xl/sharedStrings.xml><?xml version="1.0" encoding="utf-8"?>
<sst xmlns="http://schemas.openxmlformats.org/spreadsheetml/2006/main" count="94" uniqueCount="79">
  <si>
    <t>Full Year</t>
  </si>
  <si>
    <t xml:space="preserve"> Actual </t>
  </si>
  <si>
    <t>Budget</t>
  </si>
  <si>
    <t>Variance</t>
  </si>
  <si>
    <t>Reforecast</t>
  </si>
  <si>
    <t>UR</t>
  </si>
  <si>
    <t>R</t>
  </si>
  <si>
    <t>Total</t>
  </si>
  <si>
    <t>%</t>
  </si>
  <si>
    <t>INCOME</t>
  </si>
  <si>
    <t>GRANTS</t>
  </si>
  <si>
    <t>Membership Subscriptions</t>
  </si>
  <si>
    <t>TOTAL INCOME</t>
  </si>
  <si>
    <t>EXPENDITURE</t>
  </si>
  <si>
    <t>Heading 1 - Staff costs</t>
  </si>
  <si>
    <t xml:space="preserve">Heading 2 - Travel, accomodation &amp; subsistence </t>
  </si>
  <si>
    <t>Heading 3 - Costs of services</t>
  </si>
  <si>
    <t>Translations</t>
  </si>
  <si>
    <t>Reproductions and publications</t>
  </si>
  <si>
    <t>Interpretations</t>
  </si>
  <si>
    <t>External expertise</t>
  </si>
  <si>
    <t>Depreciation (equipment, furniture)</t>
  </si>
  <si>
    <t>Meeting room equipment rental</t>
  </si>
  <si>
    <t>Training (members and staff)</t>
  </si>
  <si>
    <t>Other services (website, promotional campaign, dissemination, virtual conference system and tools)</t>
  </si>
  <si>
    <t>Heading 4 - Administration costs</t>
  </si>
  <si>
    <t>Audits</t>
  </si>
  <si>
    <t>Financial services</t>
  </si>
  <si>
    <t>TOTAL EXPENDITURE</t>
  </si>
  <si>
    <t xml:space="preserve">SURPLUS </t>
  </si>
  <si>
    <t>Travel costs</t>
  </si>
  <si>
    <t>Accomodation costs</t>
  </si>
  <si>
    <t>Catering costs</t>
  </si>
  <si>
    <t>Subsistence Per diem  &amp; Local Transport</t>
  </si>
  <si>
    <t>Interpretation costs</t>
  </si>
  <si>
    <t>Translation costs</t>
  </si>
  <si>
    <t>Access - Sign Language Interpretation</t>
  </si>
  <si>
    <t>Access - Captioning</t>
  </si>
  <si>
    <t>Access - Transport</t>
  </si>
  <si>
    <t>Postage</t>
  </si>
  <si>
    <t>Office supplies</t>
  </si>
  <si>
    <t>Accessibility measures</t>
  </si>
  <si>
    <t>Fees tickets repas</t>
  </si>
  <si>
    <t>Fee Payroll Office costs</t>
  </si>
  <si>
    <t>Legal fee/advice costs</t>
  </si>
  <si>
    <t>Consultancy costs</t>
  </si>
  <si>
    <t>Non eligible Membershipfee</t>
  </si>
  <si>
    <t>Non eligible Project Granted</t>
  </si>
  <si>
    <t>Costs to be allocated</t>
  </si>
  <si>
    <t>Gross salary</t>
  </si>
  <si>
    <t>Vacation pay</t>
  </si>
  <si>
    <t>Employers contribution</t>
  </si>
  <si>
    <t>Group insurance</t>
  </si>
  <si>
    <t>Health Insurance</t>
  </si>
  <si>
    <t>Other personnel costs transport</t>
  </si>
  <si>
    <t>Charges s/ exercices antérieurs</t>
  </si>
  <si>
    <t>Majorations &amp; intérêts s/ Précpte Prof.</t>
  </si>
  <si>
    <t>Majorations &amp; intérêts s/ ONSS</t>
  </si>
  <si>
    <t>Non eligible operating amounts</t>
  </si>
  <si>
    <t>Difference paiement</t>
  </si>
  <si>
    <t>Foreign exchange losses</t>
  </si>
  <si>
    <t>Bank charges</t>
  </si>
  <si>
    <t>Project activities</t>
  </si>
  <si>
    <t>Technical support costs</t>
  </si>
  <si>
    <t>Staff costs to be allocated</t>
  </si>
  <si>
    <t>Project grants</t>
  </si>
  <si>
    <t>Operating grant CERV</t>
  </si>
  <si>
    <t>UNRESTRICTED INCOME</t>
  </si>
  <si>
    <t>Donations and sponsorship</t>
  </si>
  <si>
    <t>Staff costs allocated</t>
  </si>
  <si>
    <t>Other administrative costs (office rent &amp; charges, technical support, office supplies, insurances, payroll administration,…)</t>
  </si>
  <si>
    <t>Expenses for projects activities as at 30/09/2025 are included in the total of expenditure</t>
  </si>
  <si>
    <t>Other expenses non eligible for CERV or projects  covered by Unrestricted Funds</t>
  </si>
  <si>
    <t xml:space="preserve">Unit costs CERV for Travel-Accomodation &amp; Subsistence  </t>
  </si>
  <si>
    <t>Other Costs of services</t>
  </si>
  <si>
    <t>Actual</t>
  </si>
  <si>
    <t>Year to Date</t>
  </si>
  <si>
    <t xml:space="preserve"> Year To Date </t>
  </si>
  <si>
    <t>Year to Date- end of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</si>
</sst>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;\(#,##0\)"/>
    <numFmt numFmtId="165" formatCode="#,##0_);\(#,##0\);\-_)"/>
    <numFmt numFmtId="166" formatCode="#,##0_ ;\-#,##0\ "/>
    <numFmt numFmtId="167" formatCode="_-* #,##0_-;\-* #,##0_-;_-* &quot;-&quot;??_-;_-@_-"/>
    <numFmt numFmtId="168" formatCode="#,##0.00\ ;\-#,##0.00\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i/>
      <sz val="11"/>
      <color theme="1"/>
      <name val="Aptos Narrow"/>
      <family val="2"/>
      <scheme val="minor"/>
    </font>
    <font>
      <i/>
      <u/>
      <sz val="10"/>
      <name val="Arial"/>
      <family val="2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</cellStyleXfs>
  <cellXfs count="127">
    <xf numFmtId="0" fontId="0" fillId="0" borderId="0" xfId="0"/>
    <xf numFmtId="164" fontId="3" fillId="2" borderId="1" xfId="1" applyNumberFormat="1" applyFont="1" applyFill="1" applyBorder="1" applyAlignment="1">
      <alignment horizontal="centerContinuous"/>
    </xf>
    <xf numFmtId="164" fontId="3" fillId="2" borderId="7" xfId="1" applyNumberFormat="1" applyFont="1" applyFill="1" applyBorder="1" applyAlignment="1">
      <alignment horizontal="center"/>
    </xf>
    <xf numFmtId="165" fontId="3" fillId="3" borderId="6" xfId="1" applyNumberFormat="1" applyFont="1" applyFill="1" applyBorder="1" applyAlignment="1">
      <alignment horizontal="center"/>
    </xf>
    <xf numFmtId="165" fontId="3" fillId="3" borderId="7" xfId="1" applyNumberFormat="1" applyFont="1" applyFill="1" applyBorder="1" applyAlignment="1">
      <alignment horizontal="center"/>
    </xf>
    <xf numFmtId="165" fontId="3" fillId="3" borderId="8" xfId="1" applyNumberFormat="1" applyFont="1" applyFill="1" applyBorder="1" applyAlignment="1">
      <alignment horizontal="center"/>
    </xf>
    <xf numFmtId="165" fontId="3" fillId="4" borderId="6" xfId="1" applyNumberFormat="1" applyFont="1" applyFill="1" applyBorder="1" applyAlignment="1">
      <alignment horizontal="center"/>
    </xf>
    <xf numFmtId="165" fontId="3" fillId="4" borderId="7" xfId="1" applyNumberFormat="1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0" fontId="5" fillId="0" borderId="9" xfId="0" applyFont="1" applyBorder="1"/>
    <xf numFmtId="3" fontId="0" fillId="0" borderId="10" xfId="0" applyNumberFormat="1" applyBorder="1"/>
    <xf numFmtId="3" fontId="0" fillId="0" borderId="11" xfId="0" applyNumberFormat="1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2" fillId="0" borderId="13" xfId="0" applyFont="1" applyBorder="1"/>
    <xf numFmtId="0" fontId="0" fillId="0" borderId="14" xfId="0" applyBorder="1"/>
    <xf numFmtId="3" fontId="0" fillId="0" borderId="14" xfId="0" applyNumberFormat="1" applyBorder="1"/>
    <xf numFmtId="0" fontId="0" fillId="0" borderId="15" xfId="0" applyBorder="1"/>
    <xf numFmtId="0" fontId="0" fillId="0" borderId="13" xfId="0" applyBorder="1"/>
    <xf numFmtId="0" fontId="6" fillId="0" borderId="16" xfId="0" applyFont="1" applyBorder="1" applyAlignment="1">
      <alignment horizontal="right" vertical="center"/>
    </xf>
    <xf numFmtId="3" fontId="2" fillId="0" borderId="17" xfId="0" applyNumberFormat="1" applyFont="1" applyBorder="1"/>
    <xf numFmtId="3" fontId="2" fillId="0" borderId="18" xfId="0" applyNumberFormat="1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0" borderId="16" xfId="0" applyFont="1" applyBorder="1" applyAlignment="1">
      <alignment horizontal="left" vertical="center"/>
    </xf>
    <xf numFmtId="0" fontId="7" fillId="5" borderId="20" xfId="0" applyFont="1" applyFill="1" applyBorder="1"/>
    <xf numFmtId="0" fontId="7" fillId="5" borderId="13" xfId="0" applyFont="1" applyFill="1" applyBorder="1"/>
    <xf numFmtId="0" fontId="0" fillId="0" borderId="13" xfId="0" applyBorder="1" applyAlignment="1">
      <alignment wrapText="1"/>
    </xf>
    <xf numFmtId="0" fontId="0" fillId="0" borderId="21" xfId="0" applyBorder="1"/>
    <xf numFmtId="0" fontId="0" fillId="0" borderId="21" xfId="0" applyBorder="1" applyAlignment="1">
      <alignment wrapText="1"/>
    </xf>
    <xf numFmtId="3" fontId="2" fillId="0" borderId="14" xfId="0" applyNumberFormat="1" applyFont="1" applyBorder="1"/>
    <xf numFmtId="3" fontId="0" fillId="5" borderId="14" xfId="0" applyNumberFormat="1" applyFill="1" applyBorder="1"/>
    <xf numFmtId="0" fontId="7" fillId="5" borderId="21" xfId="0" applyFont="1" applyFill="1" applyBorder="1"/>
    <xf numFmtId="0" fontId="6" fillId="5" borderId="21" xfId="0" applyFont="1" applyFill="1" applyBorder="1" applyAlignment="1">
      <alignment wrapText="1"/>
    </xf>
    <xf numFmtId="0" fontId="13" fillId="0" borderId="20" xfId="0" applyFont="1" applyBorder="1"/>
    <xf numFmtId="0" fontId="5" fillId="5" borderId="13" xfId="0" applyFont="1" applyFill="1" applyBorder="1"/>
    <xf numFmtId="0" fontId="0" fillId="6" borderId="0" xfId="0" applyFill="1"/>
    <xf numFmtId="164" fontId="3" fillId="6" borderId="1" xfId="1" applyNumberFormat="1" applyFont="1" applyFill="1" applyBorder="1" applyAlignment="1">
      <alignment horizontal="centerContinuous"/>
    </xf>
    <xf numFmtId="164" fontId="2" fillId="6" borderId="4" xfId="0" applyNumberFormat="1" applyFont="1" applyFill="1" applyBorder="1" applyAlignment="1">
      <alignment horizontal="centerContinuous"/>
    </xf>
    <xf numFmtId="164" fontId="3" fillId="6" borderId="6" xfId="1" applyNumberFormat="1" applyFont="1" applyFill="1" applyBorder="1" applyAlignment="1">
      <alignment horizontal="center"/>
    </xf>
    <xf numFmtId="164" fontId="3" fillId="6" borderId="7" xfId="1" applyNumberFormat="1" applyFont="1" applyFill="1" applyBorder="1" applyAlignment="1">
      <alignment horizontal="center"/>
    </xf>
    <xf numFmtId="164" fontId="4" fillId="6" borderId="6" xfId="1" applyNumberFormat="1" applyFont="1" applyFill="1" applyBorder="1" applyAlignment="1">
      <alignment horizontal="center"/>
    </xf>
    <xf numFmtId="164" fontId="4" fillId="6" borderId="7" xfId="1" applyNumberFormat="1" applyFont="1" applyFill="1" applyBorder="1" applyAlignment="1">
      <alignment horizontal="center"/>
    </xf>
    <xf numFmtId="9" fontId="4" fillId="6" borderId="8" xfId="2" applyFont="1" applyFill="1" applyBorder="1" applyAlignment="1">
      <alignment horizontal="center"/>
    </xf>
    <xf numFmtId="9" fontId="4" fillId="6" borderId="0" xfId="2" applyFont="1" applyFill="1" applyBorder="1" applyAlignment="1">
      <alignment horizontal="center"/>
    </xf>
    <xf numFmtId="0" fontId="0" fillId="6" borderId="12" xfId="0" applyFill="1" applyBorder="1"/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6" borderId="12" xfId="0" applyNumberFormat="1" applyFill="1" applyBorder="1"/>
    <xf numFmtId="0" fontId="0" fillId="6" borderId="11" xfId="0" applyFill="1" applyBorder="1"/>
    <xf numFmtId="10" fontId="0" fillId="6" borderId="12" xfId="2" applyNumberFormat="1" applyFont="1" applyFill="1" applyBorder="1"/>
    <xf numFmtId="0" fontId="0" fillId="6" borderId="15" xfId="0" applyFill="1" applyBorder="1"/>
    <xf numFmtId="3" fontId="0" fillId="6" borderId="14" xfId="0" applyNumberFormat="1" applyFill="1" applyBorder="1"/>
    <xf numFmtId="0" fontId="0" fillId="6" borderId="14" xfId="0" applyFill="1" applyBorder="1"/>
    <xf numFmtId="3" fontId="0" fillId="6" borderId="15" xfId="0" applyNumberFormat="1" applyFill="1" applyBorder="1"/>
    <xf numFmtId="10" fontId="0" fillId="6" borderId="15" xfId="2" applyNumberFormat="1" applyFont="1" applyFill="1" applyBorder="1"/>
    <xf numFmtId="166" fontId="0" fillId="6" borderId="0" xfId="1" applyNumberFormat="1" applyFont="1" applyFill="1" applyBorder="1"/>
    <xf numFmtId="3" fontId="2" fillId="6" borderId="19" xfId="0" applyNumberFormat="1" applyFont="1" applyFill="1" applyBorder="1"/>
    <xf numFmtId="3" fontId="2" fillId="6" borderId="17" xfId="0" applyNumberFormat="1" applyFont="1" applyFill="1" applyBorder="1"/>
    <xf numFmtId="3" fontId="2" fillId="6" borderId="18" xfId="0" applyNumberFormat="1" applyFont="1" applyFill="1" applyBorder="1"/>
    <xf numFmtId="167" fontId="2" fillId="6" borderId="17" xfId="1" applyNumberFormat="1" applyFont="1" applyFill="1" applyBorder="1"/>
    <xf numFmtId="3" fontId="2" fillId="6" borderId="18" xfId="1" applyNumberFormat="1" applyFont="1" applyFill="1" applyBorder="1"/>
    <xf numFmtId="10" fontId="2" fillId="6" borderId="19" xfId="2" applyNumberFormat="1" applyFont="1" applyFill="1" applyBorder="1"/>
    <xf numFmtId="4" fontId="0" fillId="6" borderId="10" xfId="0" applyNumberFormat="1" applyFill="1" applyBorder="1"/>
    <xf numFmtId="4" fontId="0" fillId="6" borderId="11" xfId="0" applyNumberFormat="1" applyFill="1" applyBorder="1"/>
    <xf numFmtId="0" fontId="14" fillId="0" borderId="0" xfId="0" applyFont="1"/>
    <xf numFmtId="164" fontId="2" fillId="2" borderId="0" xfId="0" applyNumberFormat="1" applyFont="1" applyFill="1" applyAlignment="1">
      <alignment horizontal="centerContinuous"/>
    </xf>
    <xf numFmtId="0" fontId="14" fillId="0" borderId="22" xfId="0" applyFont="1" applyBorder="1"/>
    <xf numFmtId="0" fontId="14" fillId="0" borderId="2" xfId="0" applyFont="1" applyBorder="1"/>
    <xf numFmtId="0" fontId="14" fillId="6" borderId="2" xfId="0" applyFont="1" applyFill="1" applyBorder="1"/>
    <xf numFmtId="0" fontId="0" fillId="0" borderId="23" xfId="0" applyBorder="1"/>
    <xf numFmtId="0" fontId="0" fillId="0" borderId="4" xfId="0" applyBorder="1"/>
    <xf numFmtId="3" fontId="0" fillId="0" borderId="0" xfId="0" applyNumberFormat="1"/>
    <xf numFmtId="3" fontId="0" fillId="6" borderId="0" xfId="0" applyNumberFormat="1" applyFill="1"/>
    <xf numFmtId="14" fontId="0" fillId="6" borderId="0" xfId="0" applyNumberFormat="1" applyFill="1"/>
    <xf numFmtId="14" fontId="0" fillId="0" borderId="0" xfId="0" applyNumberFormat="1"/>
    <xf numFmtId="14" fontId="0" fillId="0" borderId="5" xfId="0" applyNumberFormat="1" applyBorder="1"/>
    <xf numFmtId="0" fontId="0" fillId="0" borderId="5" xfId="0" applyBorder="1"/>
    <xf numFmtId="3" fontId="0" fillId="0" borderId="5" xfId="0" applyNumberFormat="1" applyBorder="1"/>
    <xf numFmtId="3" fontId="0" fillId="5" borderId="0" xfId="0" applyNumberFormat="1" applyFill="1"/>
    <xf numFmtId="10" fontId="0" fillId="6" borderId="0" xfId="2" applyNumberFormat="1" applyFont="1" applyFill="1" applyBorder="1"/>
    <xf numFmtId="3" fontId="2" fillId="0" borderId="0" xfId="0" applyNumberFormat="1" applyFont="1"/>
    <xf numFmtId="0" fontId="0" fillId="0" borderId="24" xfId="0" applyBorder="1"/>
    <xf numFmtId="0" fontId="8" fillId="0" borderId="4" xfId="0" applyFont="1" applyBorder="1" applyAlignment="1">
      <alignment horizontal="right" vertical="center"/>
    </xf>
    <xf numFmtId="0" fontId="10" fillId="5" borderId="4" xfId="3" applyFont="1" applyFill="1" applyBorder="1" applyAlignment="1">
      <alignment horizontal="right"/>
    </xf>
    <xf numFmtId="3" fontId="11" fillId="5" borderId="0" xfId="0" applyNumberFormat="1" applyFont="1" applyFill="1"/>
    <xf numFmtId="3" fontId="11" fillId="6" borderId="0" xfId="0" applyNumberFormat="1" applyFont="1" applyFill="1"/>
    <xf numFmtId="3" fontId="2" fillId="6" borderId="0" xfId="0" applyNumberFormat="1" applyFont="1" applyFill="1"/>
    <xf numFmtId="0" fontId="10" fillId="0" borderId="4" xfId="3" applyFont="1" applyBorder="1" applyAlignment="1">
      <alignment horizontal="right"/>
    </xf>
    <xf numFmtId="0" fontId="12" fillId="0" borderId="4" xfId="3" applyFont="1" applyBorder="1" applyAlignment="1">
      <alignment horizontal="left"/>
    </xf>
    <xf numFmtId="168" fontId="9" fillId="0" borderId="0" xfId="4" applyNumberFormat="1"/>
    <xf numFmtId="0" fontId="9" fillId="0" borderId="4" xfId="6" applyBorder="1"/>
    <xf numFmtId="168" fontId="9" fillId="0" borderId="0" xfId="5" applyNumberFormat="1"/>
    <xf numFmtId="0" fontId="9" fillId="0" borderId="6" xfId="6" applyBorder="1"/>
    <xf numFmtId="0" fontId="0" fillId="0" borderId="7" xfId="0" applyBorder="1"/>
    <xf numFmtId="168" fontId="3" fillId="0" borderId="7" xfId="5" applyNumberFormat="1" applyFont="1" applyBorder="1"/>
    <xf numFmtId="0" fontId="0" fillId="6" borderId="7" xfId="0" applyFill="1" applyBorder="1"/>
    <xf numFmtId="0" fontId="0" fillId="0" borderId="8" xfId="0" applyBorder="1"/>
    <xf numFmtId="49" fontId="15" fillId="6" borderId="22" xfId="1" applyNumberFormat="1" applyFont="1" applyFill="1" applyBorder="1" applyAlignment="1">
      <alignment horizontal="center"/>
    </xf>
    <xf numFmtId="164" fontId="2" fillId="6" borderId="25" xfId="0" applyNumberFormat="1" applyFont="1" applyFill="1" applyBorder="1" applyAlignment="1">
      <alignment horizontal="centerContinuous"/>
    </xf>
    <xf numFmtId="164" fontId="3" fillId="6" borderId="26" xfId="1" applyNumberFormat="1" applyFont="1" applyFill="1" applyBorder="1" applyAlignment="1">
      <alignment horizontal="center"/>
    </xf>
    <xf numFmtId="3" fontId="0" fillId="0" borderId="27" xfId="0" applyNumberFormat="1" applyBorder="1"/>
    <xf numFmtId="0" fontId="0" fillId="0" borderId="28" xfId="0" applyBorder="1"/>
    <xf numFmtId="3" fontId="0" fillId="0" borderId="28" xfId="0" applyNumberFormat="1" applyBorder="1"/>
    <xf numFmtId="3" fontId="2" fillId="0" borderId="29" xfId="0" applyNumberFormat="1" applyFont="1" applyBorder="1"/>
    <xf numFmtId="3" fontId="0" fillId="5" borderId="28" xfId="0" applyNumberFormat="1" applyFill="1" applyBorder="1"/>
    <xf numFmtId="3" fontId="2" fillId="0" borderId="28" xfId="0" applyNumberFormat="1" applyFont="1" applyBorder="1"/>
    <xf numFmtId="164" fontId="15" fillId="6" borderId="1" xfId="1" applyNumberFormat="1" applyFont="1" applyFill="1" applyBorder="1" applyAlignment="1">
      <alignment horizontal="center" wrapText="1"/>
    </xf>
    <xf numFmtId="164" fontId="15" fillId="6" borderId="2" xfId="1" applyNumberFormat="1" applyFont="1" applyFill="1" applyBorder="1" applyAlignment="1">
      <alignment horizontal="center" wrapText="1"/>
    </xf>
    <xf numFmtId="164" fontId="15" fillId="6" borderId="3" xfId="1" applyNumberFormat="1" applyFont="1" applyFill="1" applyBorder="1" applyAlignment="1">
      <alignment horizontal="center" wrapText="1"/>
    </xf>
    <xf numFmtId="165" fontId="3" fillId="3" borderId="1" xfId="1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4" fontId="3" fillId="6" borderId="4" xfId="1" applyNumberFormat="1" applyFont="1" applyFill="1" applyBorder="1" applyAlignment="1">
      <alignment horizontal="center"/>
    </xf>
    <xf numFmtId="164" fontId="3" fillId="6" borderId="0" xfId="1" applyNumberFormat="1" applyFont="1" applyFill="1" applyBorder="1" applyAlignment="1">
      <alignment horizontal="center"/>
    </xf>
    <xf numFmtId="164" fontId="3" fillId="6" borderId="5" xfId="1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0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</cellXfs>
  <cellStyles count="7">
    <cellStyle name="Comma" xfId="1" builtinId="3"/>
    <cellStyle name="Milliers_09 2025" xfId="5" xr:uid="{CB853749-63B8-47CE-810C-EB536992E2B8}"/>
    <cellStyle name="Milliers_Liste Plan comptable" xfId="4" xr:uid="{F6E57A4E-E0C3-43AB-A67F-AC6CE87D5F08}"/>
    <cellStyle name="Normal" xfId="0" builtinId="0"/>
    <cellStyle name="Normal_06 2025" xfId="3" xr:uid="{4944EDA7-5636-4F95-ABB1-8DD7C58A42E0}"/>
    <cellStyle name="Normal_09 2025" xfId="6" xr:uid="{721B07E4-4812-45F9-A915-B55E05DDF6B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60BF7-95B2-4E8A-8D6C-1E4FAD470469}">
  <dimension ref="A1:S87"/>
  <sheetViews>
    <sheetView tabSelected="1" zoomScale="96" zoomScaleNormal="96" workbookViewId="0">
      <pane ySplit="4" topLeftCell="A31" activePane="bottomLeft" state="frozen"/>
      <selection pane="bottomLeft" activeCell="V35" sqref="V35"/>
    </sheetView>
  </sheetViews>
  <sheetFormatPr defaultColWidth="8.90625" defaultRowHeight="14.5" x14ac:dyDescent="0.35"/>
  <cols>
    <col min="1" max="1" width="48.54296875" customWidth="1"/>
    <col min="2" max="3" width="11.6328125" hidden="1" customWidth="1"/>
    <col min="4" max="4" width="11.6328125" style="38" customWidth="1"/>
    <col min="5" max="6" width="12.54296875" style="38" hidden="1" customWidth="1"/>
    <col min="7" max="7" width="12.54296875" style="38" customWidth="1"/>
    <col min="8" max="10" width="12" style="38" hidden="1" customWidth="1"/>
    <col min="11" max="11" width="12" style="38" customWidth="1"/>
    <col min="12" max="12" width="2.08984375" customWidth="1"/>
    <col min="13" max="15" width="0" hidden="1" customWidth="1"/>
    <col min="16" max="16" width="2.08984375" customWidth="1"/>
    <col min="17" max="18" width="11.81640625" hidden="1" customWidth="1"/>
    <col min="19" max="19" width="11.81640625" customWidth="1"/>
  </cols>
  <sheetData>
    <row r="1" spans="1:19" ht="15" thickBot="1" x14ac:dyDescent="0.4"/>
    <row r="2" spans="1:19" s="67" customFormat="1" ht="13" x14ac:dyDescent="0.3">
      <c r="A2" s="69"/>
      <c r="B2" s="1"/>
      <c r="C2" s="70"/>
      <c r="D2" s="100" t="s">
        <v>76</v>
      </c>
      <c r="E2" s="39"/>
      <c r="F2" s="71"/>
      <c r="G2" s="100" t="s">
        <v>78</v>
      </c>
      <c r="H2" s="109" t="s">
        <v>77</v>
      </c>
      <c r="I2" s="110"/>
      <c r="J2" s="110"/>
      <c r="K2" s="111"/>
      <c r="L2" s="70"/>
      <c r="M2" s="112" t="s">
        <v>0</v>
      </c>
      <c r="N2" s="113"/>
      <c r="O2" s="114"/>
      <c r="P2" s="70"/>
      <c r="Q2" s="115" t="s">
        <v>0</v>
      </c>
      <c r="R2" s="116"/>
      <c r="S2" s="117"/>
    </row>
    <row r="3" spans="1:19" x14ac:dyDescent="0.35">
      <c r="A3" s="72"/>
      <c r="B3" s="68" t="s">
        <v>1</v>
      </c>
      <c r="D3" s="101" t="s">
        <v>75</v>
      </c>
      <c r="E3" s="40" t="s">
        <v>2</v>
      </c>
      <c r="G3" s="101" t="s">
        <v>2</v>
      </c>
      <c r="H3" s="118" t="s">
        <v>3</v>
      </c>
      <c r="I3" s="119"/>
      <c r="J3" s="119"/>
      <c r="K3" s="120"/>
      <c r="M3" s="121" t="s">
        <v>4</v>
      </c>
      <c r="N3" s="122"/>
      <c r="O3" s="123"/>
      <c r="Q3" s="124" t="s">
        <v>2</v>
      </c>
      <c r="R3" s="125"/>
      <c r="S3" s="126"/>
    </row>
    <row r="4" spans="1:19" ht="15" thickBot="1" x14ac:dyDescent="0.4">
      <c r="A4" s="72"/>
      <c r="B4" s="2" t="s">
        <v>5</v>
      </c>
      <c r="C4" s="2" t="s">
        <v>6</v>
      </c>
      <c r="D4" s="102" t="s">
        <v>7</v>
      </c>
      <c r="E4" s="41" t="s">
        <v>5</v>
      </c>
      <c r="F4" s="42" t="s">
        <v>6</v>
      </c>
      <c r="G4" s="102" t="s">
        <v>7</v>
      </c>
      <c r="H4" s="43" t="s">
        <v>5</v>
      </c>
      <c r="I4" s="44" t="s">
        <v>6</v>
      </c>
      <c r="J4" s="44" t="s">
        <v>7</v>
      </c>
      <c r="K4" s="45" t="s">
        <v>8</v>
      </c>
      <c r="M4" s="3" t="s">
        <v>5</v>
      </c>
      <c r="N4" s="4" t="s">
        <v>6</v>
      </c>
      <c r="O4" s="5" t="s">
        <v>7</v>
      </c>
      <c r="Q4" s="6" t="s">
        <v>5</v>
      </c>
      <c r="R4" s="7" t="s">
        <v>6</v>
      </c>
      <c r="S4" s="8" t="s">
        <v>7</v>
      </c>
    </row>
    <row r="5" spans="1:19" ht="15" thickBot="1" x14ac:dyDescent="0.4">
      <c r="A5" s="73"/>
      <c r="B5" s="74"/>
      <c r="C5" s="74"/>
      <c r="D5" s="75"/>
      <c r="E5" s="76"/>
      <c r="F5" s="76"/>
      <c r="G5" s="76"/>
      <c r="H5" s="76"/>
      <c r="I5" s="76"/>
      <c r="J5" s="76"/>
      <c r="K5" s="46"/>
      <c r="M5" s="77"/>
      <c r="N5" s="77"/>
      <c r="O5" s="77"/>
      <c r="Q5" s="77"/>
      <c r="R5" s="77"/>
      <c r="S5" s="78"/>
    </row>
    <row r="6" spans="1:19" x14ac:dyDescent="0.35">
      <c r="A6" s="9" t="s">
        <v>9</v>
      </c>
      <c r="B6" s="13"/>
      <c r="C6" s="11"/>
      <c r="D6" s="47"/>
      <c r="E6" s="48"/>
      <c r="F6" s="49"/>
      <c r="G6" s="50"/>
      <c r="H6" s="48"/>
      <c r="I6" s="51"/>
      <c r="J6" s="49"/>
      <c r="K6" s="52"/>
      <c r="M6" s="13"/>
      <c r="N6" s="12"/>
      <c r="O6" s="14"/>
      <c r="Q6" s="13"/>
      <c r="R6" s="11"/>
      <c r="S6" s="103"/>
    </row>
    <row r="7" spans="1:19" x14ac:dyDescent="0.35">
      <c r="A7" s="15" t="s">
        <v>10</v>
      </c>
      <c r="B7" s="16"/>
      <c r="D7" s="53"/>
      <c r="E7" s="54"/>
      <c r="G7" s="53"/>
      <c r="H7" s="55"/>
      <c r="K7" s="53"/>
      <c r="M7" s="16"/>
      <c r="O7" s="18"/>
      <c r="Q7" s="16"/>
      <c r="S7" s="104"/>
    </row>
    <row r="8" spans="1:19" x14ac:dyDescent="0.35">
      <c r="A8" s="19" t="s">
        <v>65</v>
      </c>
      <c r="B8" s="17"/>
      <c r="C8" s="74">
        <v>920171.22</v>
      </c>
      <c r="D8" s="56">
        <f>B8+C8</f>
        <v>920171.22</v>
      </c>
      <c r="E8" s="54"/>
      <c r="F8" s="75">
        <f>S8/12*9</f>
        <v>1058598.75</v>
      </c>
      <c r="G8" s="56">
        <f>E8+F8</f>
        <v>1058598.75</v>
      </c>
      <c r="H8" s="55"/>
      <c r="I8" s="75">
        <f>C8-F8</f>
        <v>-138427.53000000003</v>
      </c>
      <c r="J8" s="75">
        <f>D8-G8</f>
        <v>-138427.53000000003</v>
      </c>
      <c r="K8" s="57">
        <f>J8/G8</f>
        <v>-0.13076487195927639</v>
      </c>
      <c r="M8" s="16"/>
      <c r="O8" s="18"/>
      <c r="Q8" s="17"/>
      <c r="R8" s="74">
        <f>3460626-1854161-195000</f>
        <v>1411465</v>
      </c>
      <c r="S8" s="105">
        <f>Q8+R8</f>
        <v>1411465</v>
      </c>
    </row>
    <row r="9" spans="1:19" x14ac:dyDescent="0.35">
      <c r="A9" s="19" t="s">
        <v>66</v>
      </c>
      <c r="B9" s="17"/>
      <c r="C9" s="74">
        <v>1077565.73</v>
      </c>
      <c r="D9" s="56">
        <f t="shared" ref="D9:D13" si="0">B9+C9</f>
        <v>1077565.73</v>
      </c>
      <c r="E9" s="54"/>
      <c r="F9" s="75">
        <f>S9/12*9</f>
        <v>1234595.7524999999</v>
      </c>
      <c r="G9" s="56">
        <f>SUM(E9:F9)</f>
        <v>1234595.7524999999</v>
      </c>
      <c r="H9" s="55"/>
      <c r="I9" s="75">
        <f>D9-G9</f>
        <v>-157030.02249999996</v>
      </c>
      <c r="J9" s="58">
        <f>SUM(H9:I9)</f>
        <v>-157030.02249999996</v>
      </c>
      <c r="K9" s="57">
        <f>I9/G9</f>
        <v>-0.12719144884632994</v>
      </c>
      <c r="M9" s="16"/>
      <c r="O9" s="18"/>
      <c r="Q9" s="17"/>
      <c r="R9" s="74">
        <v>1646127.67</v>
      </c>
      <c r="S9" s="105">
        <f>SUM(Q9:R9)</f>
        <v>1646127.67</v>
      </c>
    </row>
    <row r="10" spans="1:19" x14ac:dyDescent="0.35">
      <c r="A10" s="19"/>
      <c r="B10" s="17"/>
      <c r="C10" s="74"/>
      <c r="D10" s="56"/>
      <c r="E10" s="54"/>
      <c r="F10" s="75"/>
      <c r="G10" s="56"/>
      <c r="H10" s="55"/>
      <c r="I10" s="75"/>
      <c r="J10" s="58"/>
      <c r="K10" s="57"/>
      <c r="M10" s="16"/>
      <c r="O10" s="18"/>
      <c r="Q10" s="17"/>
      <c r="R10" s="74"/>
      <c r="S10" s="105"/>
    </row>
    <row r="11" spans="1:19" x14ac:dyDescent="0.35">
      <c r="A11" s="15" t="s">
        <v>67</v>
      </c>
      <c r="B11" s="17"/>
      <c r="C11" s="74"/>
      <c r="D11" s="56"/>
      <c r="E11" s="54"/>
      <c r="F11" s="75"/>
      <c r="G11" s="56"/>
      <c r="H11" s="55"/>
      <c r="K11" s="53"/>
      <c r="M11" s="16"/>
      <c r="O11" s="18"/>
      <c r="Q11" s="17"/>
      <c r="R11" s="74"/>
      <c r="S11" s="105"/>
    </row>
    <row r="12" spans="1:19" x14ac:dyDescent="0.35">
      <c r="A12" s="19" t="s">
        <v>68</v>
      </c>
      <c r="B12" s="17">
        <f>2656.73+70000+16540.67+111166.19+602.17+38.54</f>
        <v>201004.30000000002</v>
      </c>
      <c r="C12" s="74"/>
      <c r="D12" s="56">
        <f>B12+C6</f>
        <v>201004.30000000002</v>
      </c>
      <c r="E12" s="54">
        <f>Q12/12*9</f>
        <v>160500</v>
      </c>
      <c r="F12" s="75"/>
      <c r="G12" s="56">
        <f>E12+F12</f>
        <v>160500</v>
      </c>
      <c r="H12" s="54">
        <f>B12-E12</f>
        <v>40504.300000000017</v>
      </c>
      <c r="J12" s="75">
        <f>H12+I12</f>
        <v>40504.300000000017</v>
      </c>
      <c r="K12" s="57">
        <f>J12/G12</f>
        <v>0.2523632398753895</v>
      </c>
      <c r="M12" s="16"/>
      <c r="O12" s="18"/>
      <c r="Q12" s="17">
        <f>133000+81000</f>
        <v>214000</v>
      </c>
      <c r="R12" s="74"/>
      <c r="S12" s="105">
        <f>Q12+R12</f>
        <v>214000</v>
      </c>
    </row>
    <row r="13" spans="1:19" x14ac:dyDescent="0.35">
      <c r="A13" s="19" t="s">
        <v>11</v>
      </c>
      <c r="B13" s="17">
        <v>196804.15</v>
      </c>
      <c r="D13" s="56">
        <f t="shared" si="0"/>
        <v>196804.15</v>
      </c>
      <c r="E13" s="54">
        <f>S13/12*9</f>
        <v>146250</v>
      </c>
      <c r="F13" s="75"/>
      <c r="G13" s="56">
        <f>SUM(E13:F13)</f>
        <v>146250</v>
      </c>
      <c r="H13" s="54">
        <f>B13-E13</f>
        <v>50554.149999999994</v>
      </c>
      <c r="J13" s="75">
        <f>H13+I13</f>
        <v>50554.149999999994</v>
      </c>
      <c r="K13" s="57">
        <f>H13/E13</f>
        <v>0.34566940170940169</v>
      </c>
      <c r="M13" s="16"/>
      <c r="O13" s="18"/>
      <c r="Q13" s="17">
        <v>195000</v>
      </c>
      <c r="R13" s="74"/>
      <c r="S13" s="105">
        <f>SUM(Q13:R13)</f>
        <v>195000</v>
      </c>
    </row>
    <row r="14" spans="1:19" ht="15" thickBot="1" x14ac:dyDescent="0.4">
      <c r="A14" s="19"/>
      <c r="B14" s="17"/>
      <c r="C14" s="74"/>
      <c r="D14" s="56"/>
      <c r="E14" s="54"/>
      <c r="F14" s="75"/>
      <c r="G14" s="56"/>
      <c r="H14" s="55"/>
      <c r="K14" s="53"/>
      <c r="M14" s="16"/>
      <c r="O14" s="18"/>
      <c r="Q14" s="17"/>
      <c r="R14" s="74"/>
      <c r="S14" s="105"/>
    </row>
    <row r="15" spans="1:19" ht="16.5" thickBot="1" x14ac:dyDescent="0.4">
      <c r="A15" s="20" t="s">
        <v>12</v>
      </c>
      <c r="B15" s="21">
        <f>SUM(B7:B14)</f>
        <v>397808.45</v>
      </c>
      <c r="C15" s="22">
        <f t="shared" ref="C15" si="1">SUM(C6:C14)</f>
        <v>1997736.95</v>
      </c>
      <c r="D15" s="59">
        <f>SUM(D8:D14)</f>
        <v>2395545.4</v>
      </c>
      <c r="E15" s="60">
        <f>SUM(E6:E13)</f>
        <v>306750</v>
      </c>
      <c r="F15" s="61">
        <f t="shared" ref="F15:G15" si="2">SUM(F6:F13)</f>
        <v>2293194.5024999999</v>
      </c>
      <c r="G15" s="59">
        <f t="shared" si="2"/>
        <v>2599944.5024999999</v>
      </c>
      <c r="H15" s="62">
        <f>SUM(H6:H14)</f>
        <v>91058.450000000012</v>
      </c>
      <c r="I15" s="63">
        <f>SUM(I6:I14)</f>
        <v>-295457.55249999999</v>
      </c>
      <c r="J15" s="63">
        <f>SUM(J6:J14)</f>
        <v>-204399.10249999998</v>
      </c>
      <c r="K15" s="64">
        <f>J15/G15</f>
        <v>-7.8616717512030809E-2</v>
      </c>
      <c r="M15" s="23"/>
      <c r="N15" s="24"/>
      <c r="O15" s="25"/>
      <c r="Q15" s="21">
        <f>SUM(Q8:Q14)</f>
        <v>409000</v>
      </c>
      <c r="R15" s="22">
        <f t="shared" ref="R15" si="3">SUM(R6:R14)</f>
        <v>3057592.67</v>
      </c>
      <c r="S15" s="106">
        <f>SUM(S6:S14)</f>
        <v>3466592.67</v>
      </c>
    </row>
    <row r="16" spans="1:19" ht="15" thickBot="1" x14ac:dyDescent="0.4">
      <c r="A16" s="73"/>
      <c r="B16" s="74"/>
      <c r="C16" s="74"/>
      <c r="D16" s="75"/>
      <c r="E16" s="75"/>
      <c r="F16" s="75"/>
      <c r="G16" s="75"/>
      <c r="Q16" s="74"/>
      <c r="R16" s="74"/>
      <c r="S16" s="80"/>
    </row>
    <row r="17" spans="1:19" ht="16.5" thickBot="1" x14ac:dyDescent="0.4">
      <c r="A17" s="26" t="s">
        <v>13</v>
      </c>
      <c r="B17" s="10"/>
      <c r="C17" s="11"/>
      <c r="D17" s="50"/>
      <c r="E17" s="48"/>
      <c r="F17" s="49"/>
      <c r="G17" s="50"/>
      <c r="H17" s="65"/>
      <c r="I17" s="66"/>
      <c r="J17" s="66"/>
      <c r="K17" s="47"/>
      <c r="M17" s="13"/>
      <c r="N17" s="12"/>
      <c r="O17" s="14"/>
      <c r="Q17" s="10"/>
      <c r="R17" s="11"/>
      <c r="S17" s="103"/>
    </row>
    <row r="18" spans="1:19" ht="16" x14ac:dyDescent="0.4">
      <c r="A18" s="27" t="s">
        <v>14</v>
      </c>
      <c r="B18" s="33">
        <f>SUM(B19:B20)</f>
        <v>113302.92</v>
      </c>
      <c r="C18" s="81">
        <f>SUM(C19:C20)</f>
        <v>1321127.19</v>
      </c>
      <c r="D18" s="56">
        <f>B18+C18</f>
        <v>1434430.1099999999</v>
      </c>
      <c r="E18" s="54"/>
      <c r="F18" s="75">
        <f>S18/12*9</f>
        <v>1480500</v>
      </c>
      <c r="G18" s="56">
        <f>E18+F18</f>
        <v>1480500</v>
      </c>
      <c r="H18" s="54">
        <f>B18-E18</f>
        <v>113302.92</v>
      </c>
      <c r="I18" s="75">
        <f>C18-F18</f>
        <v>-159372.81000000006</v>
      </c>
      <c r="J18" s="75">
        <f>H18+I18</f>
        <v>-46069.890000000058</v>
      </c>
      <c r="K18" s="57">
        <f>J18/G18</f>
        <v>-3.1117791286727495E-2</v>
      </c>
      <c r="M18" s="16"/>
      <c r="O18" s="18"/>
      <c r="Q18" s="33"/>
      <c r="R18" s="81">
        <v>1974000</v>
      </c>
      <c r="S18" s="107">
        <f>SUM(Q18:R18)</f>
        <v>1974000</v>
      </c>
    </row>
    <row r="19" spans="1:19" ht="16" x14ac:dyDescent="0.4">
      <c r="A19" s="36" t="s">
        <v>69</v>
      </c>
      <c r="B19" s="17"/>
      <c r="C19" s="74">
        <v>1321127.19</v>
      </c>
      <c r="D19" s="56">
        <f>B19+C19</f>
        <v>1321127.19</v>
      </c>
      <c r="E19" s="54"/>
      <c r="F19" s="75"/>
      <c r="G19" s="56"/>
      <c r="H19" s="54"/>
      <c r="I19" s="75"/>
      <c r="J19" s="75"/>
      <c r="K19" s="57"/>
      <c r="M19" s="16"/>
      <c r="O19" s="18"/>
      <c r="Q19" s="17"/>
      <c r="R19" s="74"/>
      <c r="S19" s="105"/>
    </row>
    <row r="20" spans="1:19" ht="16" x14ac:dyDescent="0.4">
      <c r="A20" s="36" t="s">
        <v>64</v>
      </c>
      <c r="B20" s="17">
        <v>113302.92</v>
      </c>
      <c r="C20" s="74"/>
      <c r="D20" s="56">
        <f>B20+C20</f>
        <v>113302.92</v>
      </c>
      <c r="E20" s="54"/>
      <c r="F20" s="75"/>
      <c r="G20" s="56"/>
      <c r="H20" s="54"/>
      <c r="I20" s="75"/>
      <c r="J20" s="75"/>
      <c r="K20" s="57"/>
      <c r="M20" s="16"/>
      <c r="O20" s="18"/>
      <c r="Q20" s="17"/>
      <c r="R20" s="74"/>
      <c r="S20" s="105"/>
    </row>
    <row r="21" spans="1:19" x14ac:dyDescent="0.35">
      <c r="A21" s="19"/>
      <c r="B21" s="17"/>
      <c r="C21" s="74"/>
      <c r="D21" s="56"/>
      <c r="E21" s="54"/>
      <c r="F21" s="75"/>
      <c r="G21" s="56"/>
      <c r="H21" s="54"/>
      <c r="I21" s="75"/>
      <c r="J21" s="75"/>
      <c r="K21" s="53"/>
      <c r="M21" s="16"/>
      <c r="O21" s="18"/>
      <c r="Q21" s="17"/>
      <c r="R21" s="74"/>
      <c r="S21" s="105"/>
    </row>
    <row r="22" spans="1:19" ht="16" x14ac:dyDescent="0.4">
      <c r="A22" s="28" t="s">
        <v>15</v>
      </c>
      <c r="B22" s="33">
        <f>12261.43+6462.96+228.96+3121.31-5242.87</f>
        <v>16831.79</v>
      </c>
      <c r="C22" s="81">
        <v>246014.25</v>
      </c>
      <c r="D22" s="56">
        <f t="shared" ref="D22:D38" si="4">B22+C22</f>
        <v>262846.03999999998</v>
      </c>
      <c r="E22" s="54"/>
      <c r="F22" s="75">
        <f>S22/12*9</f>
        <v>248625</v>
      </c>
      <c r="G22" s="56">
        <f t="shared" ref="G22:G41" si="5">E22+F22</f>
        <v>248625</v>
      </c>
      <c r="H22" s="54">
        <f>B22-E22</f>
        <v>16831.79</v>
      </c>
      <c r="I22" s="75">
        <f>C22-F22</f>
        <v>-2610.75</v>
      </c>
      <c r="J22" s="75">
        <f>H22+I22</f>
        <v>14221.04</v>
      </c>
      <c r="K22" s="57">
        <f>J22/G22</f>
        <v>5.7198753142282559E-2</v>
      </c>
      <c r="M22" s="16"/>
      <c r="O22" s="18"/>
      <c r="Q22" s="33"/>
      <c r="R22" s="81">
        <f>13000+160000+111000+30000+13500+4000</f>
        <v>331500</v>
      </c>
      <c r="S22" s="107">
        <f>Q22+R22</f>
        <v>331500</v>
      </c>
    </row>
    <row r="23" spans="1:19" x14ac:dyDescent="0.35">
      <c r="A23" s="19"/>
      <c r="B23" s="17"/>
      <c r="C23" s="74"/>
      <c r="D23" s="56"/>
      <c r="E23" s="54"/>
      <c r="F23" s="75"/>
      <c r="G23" s="56"/>
      <c r="H23" s="54"/>
      <c r="I23" s="75"/>
      <c r="J23" s="75"/>
      <c r="K23" s="53"/>
      <c r="M23" s="16"/>
      <c r="O23" s="18"/>
      <c r="Q23" s="17"/>
      <c r="R23" s="74"/>
      <c r="S23" s="105"/>
    </row>
    <row r="24" spans="1:19" x14ac:dyDescent="0.35">
      <c r="A24" s="19"/>
      <c r="B24" s="17"/>
      <c r="C24" s="74"/>
      <c r="D24" s="56"/>
      <c r="E24" s="54"/>
      <c r="F24" s="75"/>
      <c r="G24" s="56"/>
      <c r="H24" s="54"/>
      <c r="I24" s="75"/>
      <c r="J24" s="75"/>
      <c r="K24" s="53"/>
      <c r="M24" s="16"/>
      <c r="O24" s="18"/>
      <c r="Q24" s="17"/>
      <c r="R24" s="74"/>
      <c r="S24" s="105"/>
    </row>
    <row r="25" spans="1:19" ht="16" x14ac:dyDescent="0.4">
      <c r="A25" s="28" t="s">
        <v>16</v>
      </c>
      <c r="B25" s="33">
        <f>SUM(B26:B31)</f>
        <v>13821.970000000001</v>
      </c>
      <c r="C25" s="81">
        <f>SUM(C26:C31)</f>
        <v>211308.11</v>
      </c>
      <c r="D25" s="56">
        <f>B25+C25</f>
        <v>225130.08</v>
      </c>
      <c r="E25" s="54"/>
      <c r="F25" s="75">
        <f>R25/12*9</f>
        <v>162816</v>
      </c>
      <c r="G25" s="56">
        <f t="shared" si="5"/>
        <v>162816</v>
      </c>
      <c r="H25" s="54">
        <f>B25-E25</f>
        <v>13821.970000000001</v>
      </c>
      <c r="I25" s="75">
        <f>C25-F25</f>
        <v>48492.109999999986</v>
      </c>
      <c r="J25" s="75">
        <f>H25+I25</f>
        <v>62314.079999999987</v>
      </c>
      <c r="K25" s="57">
        <f>J25/G25</f>
        <v>0.38272700471698107</v>
      </c>
      <c r="M25" s="16"/>
      <c r="O25" s="18"/>
      <c r="Q25" s="33"/>
      <c r="R25" s="81">
        <f>157088+40000+20000</f>
        <v>217088</v>
      </c>
      <c r="S25" s="107">
        <f>Q25+R25</f>
        <v>217088</v>
      </c>
    </row>
    <row r="26" spans="1:19" x14ac:dyDescent="0.35">
      <c r="A26" s="19" t="s">
        <v>17</v>
      </c>
      <c r="B26" s="17">
        <v>552.91</v>
      </c>
      <c r="C26" s="74">
        <v>6473.6</v>
      </c>
      <c r="D26" s="56">
        <f t="shared" si="4"/>
        <v>7026.51</v>
      </c>
      <c r="E26" s="54"/>
      <c r="F26" s="75"/>
      <c r="G26" s="56"/>
      <c r="H26" s="54"/>
      <c r="I26" s="75"/>
      <c r="J26" s="75"/>
      <c r="K26" s="53"/>
      <c r="M26" s="16"/>
      <c r="O26" s="18"/>
      <c r="Q26" s="17"/>
      <c r="R26" s="74"/>
      <c r="S26" s="105"/>
    </row>
    <row r="27" spans="1:19" x14ac:dyDescent="0.35">
      <c r="A27" s="19" t="s">
        <v>18</v>
      </c>
      <c r="B27" s="17"/>
      <c r="C27" s="74">
        <v>17469.79</v>
      </c>
      <c r="D27" s="56">
        <f t="shared" si="4"/>
        <v>17469.79</v>
      </c>
      <c r="E27" s="54"/>
      <c r="F27" s="75"/>
      <c r="G27" s="56"/>
      <c r="H27" s="54"/>
      <c r="I27" s="75"/>
      <c r="J27" s="75"/>
      <c r="K27" s="53"/>
      <c r="M27" s="16"/>
      <c r="O27" s="18"/>
      <c r="Q27" s="17"/>
      <c r="R27" s="74"/>
      <c r="S27" s="105"/>
    </row>
    <row r="28" spans="1:19" x14ac:dyDescent="0.35">
      <c r="A28" s="19" t="s">
        <v>19</v>
      </c>
      <c r="B28" s="17">
        <f>453.75+4037+1170.43</f>
        <v>5661.18</v>
      </c>
      <c r="C28" s="74">
        <v>74043.11</v>
      </c>
      <c r="D28" s="56">
        <f t="shared" si="4"/>
        <v>79704.290000000008</v>
      </c>
      <c r="E28" s="54"/>
      <c r="F28" s="82"/>
      <c r="G28" s="56"/>
      <c r="H28" s="54"/>
      <c r="I28" s="75"/>
      <c r="J28" s="75"/>
      <c r="K28" s="53"/>
      <c r="M28" s="16"/>
      <c r="O28" s="18"/>
      <c r="Q28" s="17"/>
      <c r="R28" s="74"/>
      <c r="S28" s="105"/>
    </row>
    <row r="29" spans="1:19" x14ac:dyDescent="0.35">
      <c r="A29" s="19" t="s">
        <v>20</v>
      </c>
      <c r="B29" s="17">
        <v>7607.88</v>
      </c>
      <c r="C29" s="74">
        <v>85257.61</v>
      </c>
      <c r="D29" s="56">
        <f t="shared" si="4"/>
        <v>92865.49</v>
      </c>
      <c r="E29" s="54"/>
      <c r="F29" s="75"/>
      <c r="G29" s="56"/>
      <c r="H29" s="54"/>
      <c r="I29" s="75"/>
      <c r="J29" s="75"/>
      <c r="K29" s="53"/>
      <c r="M29" s="16"/>
      <c r="O29" s="18"/>
      <c r="Q29" s="17"/>
      <c r="R29" s="74"/>
      <c r="S29" s="105"/>
    </row>
    <row r="30" spans="1:19" x14ac:dyDescent="0.35">
      <c r="A30" s="19" t="s">
        <v>21</v>
      </c>
      <c r="B30" s="17"/>
      <c r="C30" s="74"/>
      <c r="D30" s="56"/>
      <c r="E30" s="54"/>
      <c r="F30" s="75"/>
      <c r="G30" s="56"/>
      <c r="H30" s="54"/>
      <c r="I30" s="75"/>
      <c r="J30" s="75"/>
      <c r="K30" s="53"/>
      <c r="M30" s="16"/>
      <c r="O30" s="18"/>
      <c r="Q30" s="17"/>
      <c r="R30" s="74"/>
      <c r="S30" s="105"/>
    </row>
    <row r="31" spans="1:19" ht="29" x14ac:dyDescent="0.35">
      <c r="A31" s="29" t="s">
        <v>24</v>
      </c>
      <c r="B31" s="17"/>
      <c r="C31" s="74">
        <v>28064</v>
      </c>
      <c r="D31" s="56">
        <v>28064</v>
      </c>
      <c r="E31" s="54"/>
      <c r="F31" s="75"/>
      <c r="G31" s="56"/>
      <c r="H31" s="54"/>
      <c r="I31" s="75"/>
      <c r="J31" s="75"/>
      <c r="K31" s="53"/>
      <c r="M31" s="16"/>
      <c r="O31" s="18"/>
      <c r="Q31" s="17"/>
      <c r="R31" s="74"/>
      <c r="S31" s="105"/>
    </row>
    <row r="32" spans="1:19" x14ac:dyDescent="0.35">
      <c r="A32" s="37" t="s">
        <v>74</v>
      </c>
      <c r="B32" s="33"/>
      <c r="C32" s="81">
        <f>SUM(C33:C34)</f>
        <v>36005.31</v>
      </c>
      <c r="D32" s="56">
        <f>SUM(D33:D34)</f>
        <v>36005.31</v>
      </c>
      <c r="E32" s="54"/>
      <c r="F32" s="75">
        <f>SUM(F33:F34)</f>
        <v>60375</v>
      </c>
      <c r="G32" s="56">
        <f>SUM(G33:G34)</f>
        <v>60375</v>
      </c>
      <c r="H32" s="54"/>
      <c r="I32" s="75">
        <f>C32-F32</f>
        <v>-24369.690000000002</v>
      </c>
      <c r="J32" s="75">
        <f>D32-G32</f>
        <v>-24369.690000000002</v>
      </c>
      <c r="K32" s="57">
        <f>J32/G32</f>
        <v>-0.40363875776397518</v>
      </c>
      <c r="M32" s="16"/>
      <c r="O32" s="18"/>
      <c r="Q32" s="33"/>
      <c r="R32" s="81">
        <f>SUM(R33:R34)</f>
        <v>80500</v>
      </c>
      <c r="S32" s="107">
        <f>SUM(S33:S34)</f>
        <v>80500</v>
      </c>
    </row>
    <row r="33" spans="1:19" x14ac:dyDescent="0.35">
      <c r="A33" s="19" t="s">
        <v>22</v>
      </c>
      <c r="B33" s="17"/>
      <c r="C33" s="74">
        <v>32569.59</v>
      </c>
      <c r="D33" s="56">
        <f t="shared" si="4"/>
        <v>32569.59</v>
      </c>
      <c r="E33" s="54"/>
      <c r="F33" s="75">
        <f>R33/12*9</f>
        <v>45375</v>
      </c>
      <c r="G33" s="56">
        <f t="shared" si="5"/>
        <v>45375</v>
      </c>
      <c r="H33" s="54"/>
      <c r="I33" s="75">
        <f>C33-F33</f>
        <v>-12805.41</v>
      </c>
      <c r="J33" s="75">
        <f>H33+I33</f>
        <v>-12805.41</v>
      </c>
      <c r="K33" s="57">
        <f>J33/G33</f>
        <v>-0.28221289256198345</v>
      </c>
      <c r="M33" s="16"/>
      <c r="O33" s="18"/>
      <c r="Q33" s="17"/>
      <c r="R33" s="74">
        <f>35000+23000+2000+500</f>
        <v>60500</v>
      </c>
      <c r="S33" s="105">
        <f>Q33+R33</f>
        <v>60500</v>
      </c>
    </row>
    <row r="34" spans="1:19" x14ac:dyDescent="0.35">
      <c r="A34" s="19" t="s">
        <v>23</v>
      </c>
      <c r="B34" s="17"/>
      <c r="C34" s="74">
        <v>3435.72</v>
      </c>
      <c r="D34" s="56">
        <f t="shared" si="4"/>
        <v>3435.72</v>
      </c>
      <c r="E34" s="54"/>
      <c r="F34" s="75">
        <f>R34/12*9</f>
        <v>15000</v>
      </c>
      <c r="G34" s="56">
        <f t="shared" si="5"/>
        <v>15000</v>
      </c>
      <c r="H34" s="54"/>
      <c r="I34" s="75">
        <f>C34-F34</f>
        <v>-11564.28</v>
      </c>
      <c r="J34" s="75">
        <f>H34+I34</f>
        <v>-11564.28</v>
      </c>
      <c r="K34" s="57">
        <f>J34/G34</f>
        <v>-0.77095200000000008</v>
      </c>
      <c r="M34" s="16"/>
      <c r="O34" s="18"/>
      <c r="Q34" s="17"/>
      <c r="R34" s="74">
        <v>20000</v>
      </c>
      <c r="S34" s="105">
        <f>Q34+R34</f>
        <v>20000</v>
      </c>
    </row>
    <row r="35" spans="1:19" x14ac:dyDescent="0.35">
      <c r="A35" s="30"/>
      <c r="B35" s="17"/>
      <c r="C35" s="74"/>
      <c r="D35" s="56"/>
      <c r="E35" s="54"/>
      <c r="F35" s="75"/>
      <c r="G35" s="56"/>
      <c r="H35" s="54"/>
      <c r="I35" s="75"/>
      <c r="J35" s="75"/>
      <c r="K35" s="53"/>
      <c r="M35" s="16"/>
      <c r="O35" s="18"/>
      <c r="Q35" s="17"/>
      <c r="R35" s="74"/>
      <c r="S35" s="105"/>
    </row>
    <row r="36" spans="1:19" ht="16" x14ac:dyDescent="0.4">
      <c r="A36" s="34" t="s">
        <v>25</v>
      </c>
      <c r="B36" s="33">
        <f>SUM(B37:B39)</f>
        <v>27756.44</v>
      </c>
      <c r="C36" s="81">
        <f>SUM(C37:C39)</f>
        <v>316464.31</v>
      </c>
      <c r="D36" s="56">
        <f>B36+C36</f>
        <v>344220.75</v>
      </c>
      <c r="E36" s="54"/>
      <c r="F36" s="75">
        <f>R36/12*9</f>
        <v>200184</v>
      </c>
      <c r="G36" s="56">
        <f t="shared" si="5"/>
        <v>200184</v>
      </c>
      <c r="H36" s="54">
        <f>B36-E36</f>
        <v>27756.44</v>
      </c>
      <c r="I36" s="75">
        <f>C36-F36</f>
        <v>116280.31</v>
      </c>
      <c r="J36" s="75">
        <f>H36+I36</f>
        <v>144036.75</v>
      </c>
      <c r="K36" s="57">
        <f>J36/G36</f>
        <v>0.71952178995324301</v>
      </c>
      <c r="M36" s="16"/>
      <c r="O36" s="18"/>
      <c r="Q36" s="33"/>
      <c r="R36" s="81">
        <f>504000-R25-R34</f>
        <v>266912</v>
      </c>
      <c r="S36" s="107">
        <f>Q36+R36</f>
        <v>266912</v>
      </c>
    </row>
    <row r="37" spans="1:19" x14ac:dyDescent="0.35">
      <c r="A37" s="30" t="s">
        <v>26</v>
      </c>
      <c r="B37" s="17"/>
      <c r="C37" s="74">
        <v>42532.95</v>
      </c>
      <c r="D37" s="56">
        <f t="shared" si="4"/>
        <v>42532.95</v>
      </c>
      <c r="E37" s="54"/>
      <c r="F37" s="75"/>
      <c r="G37" s="56"/>
      <c r="H37" s="54"/>
      <c r="I37" s="75"/>
      <c r="J37" s="75"/>
      <c r="K37" s="53"/>
      <c r="M37" s="16"/>
      <c r="O37" s="18"/>
      <c r="Q37" s="17"/>
      <c r="R37" s="74"/>
      <c r="S37" s="105"/>
    </row>
    <row r="38" spans="1:19" x14ac:dyDescent="0.35">
      <c r="A38" s="30" t="s">
        <v>27</v>
      </c>
      <c r="B38" s="17"/>
      <c r="C38" s="74">
        <v>49192.81</v>
      </c>
      <c r="D38" s="56">
        <f t="shared" si="4"/>
        <v>49192.81</v>
      </c>
      <c r="E38" s="54"/>
      <c r="F38" s="75"/>
      <c r="G38" s="56"/>
      <c r="H38" s="54"/>
      <c r="I38" s="75"/>
      <c r="J38" s="75"/>
      <c r="K38" s="53"/>
      <c r="M38" s="16"/>
      <c r="O38" s="18"/>
      <c r="Q38" s="17"/>
      <c r="R38" s="74"/>
      <c r="S38" s="105"/>
    </row>
    <row r="39" spans="1:19" ht="42" customHeight="1" x14ac:dyDescent="0.35">
      <c r="A39" s="31" t="s">
        <v>70</v>
      </c>
      <c r="B39" s="17">
        <v>27756.44</v>
      </c>
      <c r="C39" s="74">
        <v>224738.55</v>
      </c>
      <c r="D39" s="56">
        <f>B39+C39</f>
        <v>252494.99</v>
      </c>
      <c r="E39" s="54"/>
      <c r="F39" s="75"/>
      <c r="G39" s="56"/>
      <c r="H39" s="54"/>
      <c r="I39" s="75"/>
      <c r="J39" s="75"/>
      <c r="K39" s="53"/>
      <c r="M39" s="16"/>
      <c r="O39" s="18"/>
      <c r="Q39" s="17"/>
      <c r="R39" s="74"/>
      <c r="S39" s="105"/>
    </row>
    <row r="40" spans="1:19" x14ac:dyDescent="0.35">
      <c r="A40" s="30"/>
      <c r="B40" s="17"/>
      <c r="C40" s="74"/>
      <c r="D40" s="56"/>
      <c r="E40" s="54"/>
      <c r="F40" s="75"/>
      <c r="G40" s="56"/>
      <c r="H40" s="54"/>
      <c r="I40" s="75"/>
      <c r="J40" s="75"/>
      <c r="K40" s="53"/>
      <c r="M40" s="16"/>
      <c r="O40" s="18"/>
      <c r="Q40" s="17"/>
      <c r="R40" s="74"/>
      <c r="S40" s="105"/>
    </row>
    <row r="41" spans="1:19" ht="16" x14ac:dyDescent="0.4">
      <c r="A41" s="35" t="s">
        <v>62</v>
      </c>
      <c r="B41" s="33"/>
      <c r="C41" s="81"/>
      <c r="D41" s="56"/>
      <c r="E41" s="54"/>
      <c r="F41" s="75">
        <f>R41/12*9</f>
        <v>297478.5</v>
      </c>
      <c r="G41" s="56">
        <f t="shared" si="5"/>
        <v>297478.5</v>
      </c>
      <c r="H41" s="54"/>
      <c r="I41" s="75"/>
      <c r="J41" s="75"/>
      <c r="K41" s="53"/>
      <c r="M41" s="16"/>
      <c r="O41" s="18"/>
      <c r="Q41" s="33"/>
      <c r="R41" s="81">
        <v>396638</v>
      </c>
      <c r="S41" s="107">
        <f>Q41+R41</f>
        <v>396638</v>
      </c>
    </row>
    <row r="42" spans="1:19" ht="30" customHeight="1" x14ac:dyDescent="0.35">
      <c r="A42" s="31" t="s">
        <v>71</v>
      </c>
      <c r="B42" s="17"/>
      <c r="C42" s="74"/>
      <c r="D42" s="56"/>
      <c r="E42" s="54"/>
      <c r="F42" s="75"/>
      <c r="G42" s="56"/>
      <c r="H42" s="54"/>
      <c r="I42" s="75"/>
      <c r="J42" s="75"/>
      <c r="K42" s="53"/>
      <c r="M42" s="16"/>
      <c r="O42" s="18"/>
      <c r="Q42" s="17"/>
      <c r="R42" s="74"/>
      <c r="S42" s="105"/>
    </row>
    <row r="43" spans="1:19" hidden="1" x14ac:dyDescent="0.35">
      <c r="A43" s="31"/>
      <c r="B43" s="17"/>
      <c r="C43" s="74"/>
      <c r="D43" s="56"/>
      <c r="E43" s="54"/>
      <c r="F43" s="75"/>
      <c r="G43" s="56"/>
      <c r="H43" s="54"/>
      <c r="I43" s="75"/>
      <c r="J43" s="75"/>
      <c r="K43" s="53"/>
      <c r="M43" s="16"/>
      <c r="O43" s="18"/>
      <c r="Q43" s="17"/>
      <c r="S43" s="105"/>
    </row>
    <row r="44" spans="1:19" ht="15" thickBot="1" x14ac:dyDescent="0.4">
      <c r="A44" s="30"/>
      <c r="B44" s="17"/>
      <c r="C44" s="74"/>
      <c r="D44" s="56"/>
      <c r="E44" s="54"/>
      <c r="F44" s="75"/>
      <c r="G44" s="56"/>
      <c r="H44" s="54"/>
      <c r="I44" s="75"/>
      <c r="J44" s="75"/>
      <c r="K44" s="53"/>
      <c r="M44" s="16"/>
      <c r="O44" s="18"/>
      <c r="Q44" s="32"/>
      <c r="R44" s="83"/>
      <c r="S44" s="108"/>
    </row>
    <row r="45" spans="1:19" ht="16.5" thickBot="1" x14ac:dyDescent="0.4">
      <c r="A45" s="20" t="s">
        <v>28</v>
      </c>
      <c r="B45" s="21">
        <f>B18+B22+B25+B36</f>
        <v>171713.12</v>
      </c>
      <c r="C45" s="22">
        <f>C18+C22+C25+C32+C36</f>
        <v>2130919.17</v>
      </c>
      <c r="D45" s="59">
        <f>SUM(B45:C45)</f>
        <v>2302632.29</v>
      </c>
      <c r="E45" s="60">
        <f>SUM(E17:E44)</f>
        <v>0</v>
      </c>
      <c r="F45" s="61">
        <f>F18+F22+F25+F32+F36+F41</f>
        <v>2449978.5</v>
      </c>
      <c r="G45" s="59">
        <f>E45+F45</f>
        <v>2449978.5</v>
      </c>
      <c r="H45" s="60">
        <f>SUM(H17:H44)</f>
        <v>171713.12</v>
      </c>
      <c r="I45" s="61">
        <f>I18+I22+I25+I32+I36</f>
        <v>-21580.830000000075</v>
      </c>
      <c r="J45" s="61">
        <f>H45+I45</f>
        <v>150132.28999999992</v>
      </c>
      <c r="K45" s="64">
        <f>J45/G45</f>
        <v>6.1279023468981432E-2</v>
      </c>
      <c r="M45" s="23"/>
      <c r="N45" s="24"/>
      <c r="O45" s="25"/>
      <c r="Q45" s="21">
        <f>SUM(Q17:Q44)</f>
        <v>0</v>
      </c>
      <c r="R45" s="22">
        <f>SUM(R17:R44)</f>
        <v>3347138</v>
      </c>
      <c r="S45" s="106">
        <f>SUM(S17:S44)</f>
        <v>3347138</v>
      </c>
    </row>
    <row r="46" spans="1:19" ht="15" thickBot="1" x14ac:dyDescent="0.4">
      <c r="A46" s="84"/>
      <c r="B46" s="74"/>
      <c r="C46" s="74"/>
      <c r="D46" s="75"/>
      <c r="E46" s="75"/>
      <c r="F46" s="75"/>
      <c r="G46" s="75"/>
      <c r="Q46" s="74"/>
      <c r="R46" s="74"/>
      <c r="S46" s="80"/>
    </row>
    <row r="47" spans="1:19" ht="16" x14ac:dyDescent="0.35">
      <c r="A47" s="85"/>
      <c r="B47" s="74"/>
      <c r="C47" s="74"/>
      <c r="D47" s="75"/>
      <c r="S47" s="79"/>
    </row>
    <row r="48" spans="1:19" x14ac:dyDescent="0.35">
      <c r="A48" s="86" t="s">
        <v>29</v>
      </c>
      <c r="B48" s="87" t="e">
        <f>B15-#REF!</f>
        <v>#REF!</v>
      </c>
      <c r="C48" s="87" t="e">
        <f>C15-#REF!</f>
        <v>#REF!</v>
      </c>
      <c r="D48" s="88">
        <f>D15-D45</f>
        <v>92913.10999999987</v>
      </c>
      <c r="E48" s="89"/>
      <c r="F48" s="89"/>
      <c r="G48" s="89"/>
      <c r="S48" s="79"/>
    </row>
    <row r="49" spans="1:19" x14ac:dyDescent="0.35">
      <c r="A49" s="90"/>
      <c r="B49" s="74"/>
      <c r="C49" s="74"/>
      <c r="D49" s="75"/>
      <c r="S49" s="79"/>
    </row>
    <row r="50" spans="1:19" x14ac:dyDescent="0.35">
      <c r="A50" s="91" t="s">
        <v>72</v>
      </c>
      <c r="B50" s="74"/>
      <c r="C50" s="74"/>
      <c r="D50" s="75"/>
      <c r="S50" s="79"/>
    </row>
    <row r="51" spans="1:19" x14ac:dyDescent="0.35">
      <c r="A51" s="73"/>
      <c r="B51" s="92"/>
      <c r="S51" s="79"/>
    </row>
    <row r="52" spans="1:19" x14ac:dyDescent="0.35">
      <c r="A52" s="93" t="s">
        <v>30</v>
      </c>
      <c r="D52" s="94">
        <v>12261.43</v>
      </c>
      <c r="S52" s="79"/>
    </row>
    <row r="53" spans="1:19" x14ac:dyDescent="0.35">
      <c r="A53" s="93" t="s">
        <v>31</v>
      </c>
      <c r="D53" s="94">
        <v>6462.96</v>
      </c>
      <c r="S53" s="79"/>
    </row>
    <row r="54" spans="1:19" x14ac:dyDescent="0.35">
      <c r="A54" s="93" t="s">
        <v>32</v>
      </c>
      <c r="D54" s="94">
        <v>228.96</v>
      </c>
      <c r="S54" s="79"/>
    </row>
    <row r="55" spans="1:19" x14ac:dyDescent="0.35">
      <c r="A55" s="93" t="s">
        <v>33</v>
      </c>
      <c r="D55" s="94">
        <v>3121.31</v>
      </c>
      <c r="S55" s="79"/>
    </row>
    <row r="56" spans="1:19" x14ac:dyDescent="0.35">
      <c r="A56" s="93" t="s">
        <v>34</v>
      </c>
      <c r="D56" s="94">
        <v>453.75</v>
      </c>
      <c r="S56" s="79"/>
    </row>
    <row r="57" spans="1:19" x14ac:dyDescent="0.35">
      <c r="A57" s="93" t="s">
        <v>35</v>
      </c>
      <c r="D57" s="94">
        <v>552.91</v>
      </c>
      <c r="S57" s="79"/>
    </row>
    <row r="58" spans="1:19" x14ac:dyDescent="0.35">
      <c r="A58" s="93" t="s">
        <v>36</v>
      </c>
      <c r="D58" s="94">
        <v>4037</v>
      </c>
      <c r="S58" s="79"/>
    </row>
    <row r="59" spans="1:19" x14ac:dyDescent="0.35">
      <c r="A59" s="93" t="s">
        <v>37</v>
      </c>
      <c r="D59" s="94">
        <v>1170.43</v>
      </c>
      <c r="S59" s="79"/>
    </row>
    <row r="60" spans="1:19" x14ac:dyDescent="0.35">
      <c r="A60" s="93" t="s">
        <v>38</v>
      </c>
      <c r="D60" s="94">
        <v>117</v>
      </c>
      <c r="S60" s="79"/>
    </row>
    <row r="61" spans="1:19" x14ac:dyDescent="0.35">
      <c r="A61" s="93" t="s">
        <v>39</v>
      </c>
      <c r="D61" s="94">
        <v>172.63</v>
      </c>
      <c r="S61" s="79"/>
    </row>
    <row r="62" spans="1:19" x14ac:dyDescent="0.35">
      <c r="A62" s="93" t="s">
        <v>40</v>
      </c>
      <c r="D62" s="94">
        <v>516.54</v>
      </c>
      <c r="S62" s="79"/>
    </row>
    <row r="63" spans="1:19" x14ac:dyDescent="0.35">
      <c r="A63" s="93" t="s">
        <v>41</v>
      </c>
      <c r="D63" s="94">
        <v>760</v>
      </c>
      <c r="S63" s="79"/>
    </row>
    <row r="64" spans="1:19" x14ac:dyDescent="0.35">
      <c r="A64" s="93" t="s">
        <v>42</v>
      </c>
      <c r="D64" s="94">
        <v>124.28</v>
      </c>
      <c r="S64" s="79"/>
    </row>
    <row r="65" spans="1:19" x14ac:dyDescent="0.35">
      <c r="A65" s="93" t="s">
        <v>43</v>
      </c>
      <c r="D65" s="94">
        <v>1184.3599999999999</v>
      </c>
      <c r="S65" s="79"/>
    </row>
    <row r="66" spans="1:19" x14ac:dyDescent="0.35">
      <c r="A66" s="93" t="s">
        <v>63</v>
      </c>
      <c r="D66" s="94">
        <v>754.9</v>
      </c>
      <c r="S66" s="79"/>
    </row>
    <row r="67" spans="1:19" x14ac:dyDescent="0.35">
      <c r="A67" s="93" t="s">
        <v>44</v>
      </c>
      <c r="D67" s="94">
        <v>5262.9</v>
      </c>
      <c r="S67" s="79"/>
    </row>
    <row r="68" spans="1:19" x14ac:dyDescent="0.35">
      <c r="A68" s="93" t="s">
        <v>45</v>
      </c>
      <c r="D68" s="94">
        <v>7607.88</v>
      </c>
      <c r="S68" s="79"/>
    </row>
    <row r="69" spans="1:19" x14ac:dyDescent="0.35">
      <c r="A69" s="93" t="s">
        <v>46</v>
      </c>
      <c r="D69" s="94">
        <v>5639.2</v>
      </c>
      <c r="S69" s="79"/>
    </row>
    <row r="70" spans="1:19" x14ac:dyDescent="0.35">
      <c r="A70" s="93" t="s">
        <v>47</v>
      </c>
      <c r="D70" s="94">
        <v>1000</v>
      </c>
      <c r="S70" s="79"/>
    </row>
    <row r="71" spans="1:19" x14ac:dyDescent="0.35">
      <c r="A71" s="93" t="s">
        <v>48</v>
      </c>
      <c r="D71" s="94">
        <v>-1582.9</v>
      </c>
      <c r="S71" s="79"/>
    </row>
    <row r="72" spans="1:19" x14ac:dyDescent="0.35">
      <c r="A72" s="93" t="s">
        <v>49</v>
      </c>
      <c r="D72" s="94">
        <v>4351.25</v>
      </c>
      <c r="S72" s="79"/>
    </row>
    <row r="73" spans="1:19" x14ac:dyDescent="0.35">
      <c r="A73" s="93" t="s">
        <v>50</v>
      </c>
      <c r="D73" s="94">
        <v>26.92</v>
      </c>
      <c r="S73" s="79"/>
    </row>
    <row r="74" spans="1:19" x14ac:dyDescent="0.35">
      <c r="A74" s="93" t="s">
        <v>51</v>
      </c>
      <c r="D74" s="94">
        <v>1488.2</v>
      </c>
      <c r="S74" s="79"/>
    </row>
    <row r="75" spans="1:19" ht="17.399999999999999" customHeight="1" x14ac:dyDescent="0.35">
      <c r="A75" s="93" t="s">
        <v>52</v>
      </c>
      <c r="D75" s="94">
        <v>954.57</v>
      </c>
      <c r="S75" s="79"/>
    </row>
    <row r="76" spans="1:19" x14ac:dyDescent="0.35">
      <c r="A76" s="93" t="s">
        <v>53</v>
      </c>
      <c r="D76" s="94">
        <v>-69.180000000000007</v>
      </c>
      <c r="S76" s="79"/>
    </row>
    <row r="77" spans="1:19" x14ac:dyDescent="0.35">
      <c r="A77" s="93" t="s">
        <v>54</v>
      </c>
      <c r="D77" s="94">
        <v>306</v>
      </c>
      <c r="S77" s="79"/>
    </row>
    <row r="78" spans="1:19" x14ac:dyDescent="0.35">
      <c r="A78" s="93" t="s">
        <v>55</v>
      </c>
      <c r="D78" s="94">
        <v>3300.27</v>
      </c>
      <c r="S78" s="79"/>
    </row>
    <row r="79" spans="1:19" x14ac:dyDescent="0.35">
      <c r="A79" s="93" t="s">
        <v>56</v>
      </c>
      <c r="D79" s="94">
        <v>204.15</v>
      </c>
      <c r="S79" s="79"/>
    </row>
    <row r="80" spans="1:19" x14ac:dyDescent="0.35">
      <c r="A80" s="93" t="s">
        <v>57</v>
      </c>
      <c r="D80" s="94">
        <v>1513.3</v>
      </c>
      <c r="S80" s="79"/>
    </row>
    <row r="81" spans="1:19" x14ac:dyDescent="0.35">
      <c r="A81" s="93" t="s">
        <v>58</v>
      </c>
      <c r="D81" s="94">
        <v>1564.05</v>
      </c>
      <c r="S81" s="79"/>
    </row>
    <row r="82" spans="1:19" x14ac:dyDescent="0.35">
      <c r="A82" s="93" t="s">
        <v>59</v>
      </c>
      <c r="D82" s="94">
        <v>57.54</v>
      </c>
      <c r="S82" s="79"/>
    </row>
    <row r="83" spans="1:19" x14ac:dyDescent="0.35">
      <c r="A83" s="93" t="s">
        <v>60</v>
      </c>
      <c r="D83" s="94">
        <v>1.39</v>
      </c>
      <c r="S83" s="79"/>
    </row>
    <row r="84" spans="1:19" x14ac:dyDescent="0.35">
      <c r="A84" s="93" t="s">
        <v>61</v>
      </c>
      <c r="D84" s="94">
        <v>109.07</v>
      </c>
      <c r="S84" s="79"/>
    </row>
    <row r="85" spans="1:19" x14ac:dyDescent="0.35">
      <c r="A85" s="93" t="s">
        <v>73</v>
      </c>
      <c r="D85" s="94">
        <v>-5242.87</v>
      </c>
      <c r="S85" s="79"/>
    </row>
    <row r="86" spans="1:19" x14ac:dyDescent="0.35">
      <c r="A86" s="93"/>
      <c r="D86" s="94"/>
      <c r="S86" s="79"/>
    </row>
    <row r="87" spans="1:19" ht="15" thickBot="1" x14ac:dyDescent="0.4">
      <c r="A87" s="95"/>
      <c r="B87" s="96"/>
      <c r="C87" s="96"/>
      <c r="D87" s="97">
        <f>SUM(D52:D86)</f>
        <v>58410.19999999999</v>
      </c>
      <c r="E87" s="98"/>
      <c r="F87" s="98"/>
      <c r="G87" s="98"/>
      <c r="H87" s="98"/>
      <c r="I87" s="98"/>
      <c r="J87" s="98"/>
      <c r="K87" s="98"/>
      <c r="L87" s="96"/>
      <c r="M87" s="96"/>
      <c r="N87" s="96"/>
      <c r="O87" s="96"/>
      <c r="P87" s="96"/>
      <c r="Q87" s="96"/>
      <c r="R87" s="96"/>
      <c r="S87" s="99"/>
    </row>
  </sheetData>
  <sheetProtection sheet="1" objects="1" scenarios="1" selectLockedCells="1" selectUnlockedCells="1"/>
  <mergeCells count="6">
    <mergeCell ref="H2:K2"/>
    <mergeCell ref="M2:O2"/>
    <mergeCell ref="Q2:S2"/>
    <mergeCell ref="H3:K3"/>
    <mergeCell ref="M3:O3"/>
    <mergeCell ref="Q3:S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a24565-8b77-45e0-9465-ff23cf6f6a01">
      <Terms xmlns="http://schemas.microsoft.com/office/infopath/2007/PartnerControls"/>
    </lcf76f155ced4ddcb4097134ff3c332f>
    <TaxCatchAll xmlns="252f4827-23ce-43c5-a232-6be14f1d3f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90EF7695DDD6468D86AFF65ECDCF5F" ma:contentTypeVersion="13" ma:contentTypeDescription="Create a new document." ma:contentTypeScope="" ma:versionID="5ff6876b7ab586cbfe48bde8cbfb1be9">
  <xsd:schema xmlns:xsd="http://www.w3.org/2001/XMLSchema" xmlns:xs="http://www.w3.org/2001/XMLSchema" xmlns:p="http://schemas.microsoft.com/office/2006/metadata/properties" xmlns:ns2="3da24565-8b77-45e0-9465-ff23cf6f6a01" xmlns:ns3="252f4827-23ce-43c5-a232-6be14f1d3f55" targetNamespace="http://schemas.microsoft.com/office/2006/metadata/properties" ma:root="true" ma:fieldsID="56305f06d357d2e6ff310f1ad0ca8bdc" ns2:_="" ns3:_="">
    <xsd:import namespace="3da24565-8b77-45e0-9465-ff23cf6f6a01"/>
    <xsd:import namespace="252f4827-23ce-43c5-a232-6be14f1d3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a24565-8b77-45e0-9465-ff23cf6f6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c269641-27d2-45e3-b2ce-fef808aaf9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f4827-23ce-43c5-a232-6be14f1d3f5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fd7dd28-1cc8-4282-a9fa-85e7441438cc}" ma:internalName="TaxCatchAll" ma:showField="CatchAllData" ma:web="252f4827-23ce-43c5-a232-6be14f1d3f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554A26-A5B1-4D32-8204-FE5401F3AFB9}">
  <ds:schemaRefs>
    <ds:schemaRef ds:uri="http://schemas.microsoft.com/office/2006/documentManagement/types"/>
    <ds:schemaRef ds:uri="http://purl.org/dc/elements/1.1/"/>
    <ds:schemaRef ds:uri="http://purl.org/dc/dcmitype/"/>
    <ds:schemaRef ds:uri="252f4827-23ce-43c5-a232-6be14f1d3f55"/>
    <ds:schemaRef ds:uri="http://purl.org/dc/terms/"/>
    <ds:schemaRef ds:uri="3da24565-8b77-45e0-9465-ff23cf6f6a01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71344B0-03CA-48D5-BD67-F1A4337B6E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DC85D7-8857-4AA5-A0BB-2FCB4BA771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a24565-8b77-45e0-9465-ff23cf6f6a01"/>
    <ds:schemaRef ds:uri="252f4827-23ce-43c5-a232-6be14f1d3f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Ost</dc:creator>
  <cp:lastModifiedBy>Catherine Naughton</cp:lastModifiedBy>
  <dcterms:created xsi:type="dcterms:W3CDTF">2025-09-17T19:37:43Z</dcterms:created>
  <dcterms:modified xsi:type="dcterms:W3CDTF">2025-10-24T10:11:20Z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0x010100BA90EF7695DDD6468D86AFF65ECDCF5F</vt:lpwstr>
  </property>
  <property fmtid="{D5CDD505-2E9C-101B-9397-08002B2CF9AE}" pid="3" name="MediaServiceImageTags">
    <vt:lpwstr/>
  </property>
</Properties>
</file>